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ainbaget/Desktop/"/>
    </mc:Choice>
  </mc:AlternateContent>
  <xr:revisionPtr revIDLastSave="0" documentId="8_{EBC3772C-640B-F54C-9B63-B117AFE80795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4" i="3" l="1"/>
  <c r="S24" i="3"/>
  <c r="O24" i="3"/>
  <c r="V19" i="3"/>
  <c r="S19" i="3"/>
  <c r="O19" i="3"/>
  <c r="V22" i="3"/>
  <c r="S22" i="3"/>
  <c r="O22" i="3"/>
  <c r="V21" i="3"/>
  <c r="S21" i="3"/>
  <c r="O21" i="3"/>
  <c r="T22" i="3" l="1"/>
  <c r="AH22" i="3" s="1"/>
  <c r="T19" i="3"/>
  <c r="AC19" i="3" s="1"/>
  <c r="T21" i="3"/>
  <c r="AG21" i="3" s="1"/>
  <c r="T24" i="3"/>
  <c r="AI24" i="3" s="1"/>
  <c r="W22" i="3"/>
  <c r="W19" i="3"/>
  <c r="V12" i="3"/>
  <c r="AF19" i="3" l="1"/>
  <c r="AC22" i="3"/>
  <c r="AH21" i="3"/>
  <c r="W21" i="3"/>
  <c r="AE19" i="3"/>
  <c r="AI19" i="3"/>
  <c r="AG19" i="3"/>
  <c r="AH19" i="3"/>
  <c r="AB22" i="3"/>
  <c r="AG22" i="3"/>
  <c r="AE22" i="3"/>
  <c r="AF22" i="3"/>
  <c r="AD22" i="3"/>
  <c r="AI22" i="3"/>
  <c r="AJ22" i="3"/>
  <c r="AG24" i="3"/>
  <c r="AD19" i="3"/>
  <c r="AJ19" i="3"/>
  <c r="AB19" i="3"/>
  <c r="AC24" i="3"/>
  <c r="AE21" i="3"/>
  <c r="W24" i="3"/>
  <c r="AJ24" i="3"/>
  <c r="AJ21" i="3"/>
  <c r="AB24" i="3"/>
  <c r="AD24" i="3"/>
  <c r="AE24" i="3"/>
  <c r="AC21" i="3"/>
  <c r="AB21" i="3"/>
  <c r="AI21" i="3"/>
  <c r="AF24" i="3"/>
  <c r="AH24" i="3"/>
  <c r="AD21" i="3"/>
  <c r="AF21" i="3"/>
  <c r="V7" i="3"/>
  <c r="V11" i="3"/>
  <c r="V17" i="3"/>
  <c r="V20" i="3"/>
  <c r="V13" i="3"/>
  <c r="V8" i="3"/>
  <c r="V9" i="3"/>
  <c r="V14" i="3"/>
  <c r="V16" i="3"/>
  <c r="V10" i="3"/>
  <c r="V18" i="3"/>
  <c r="V15" i="3"/>
  <c r="V23" i="3"/>
  <c r="V26" i="3"/>
  <c r="V25" i="3"/>
  <c r="AK19" i="3" l="1"/>
  <c r="AM19" i="3" s="1"/>
  <c r="AN24" i="3"/>
  <c r="AN22" i="3"/>
  <c r="AK22" i="3"/>
  <c r="AM22" i="3" s="1"/>
  <c r="AN21" i="3"/>
  <c r="AN19" i="3"/>
  <c r="AK24" i="3"/>
  <c r="AM24" i="3" s="1"/>
  <c r="U24" i="3" s="1"/>
  <c r="AK21" i="3"/>
  <c r="AM21" i="3" s="1"/>
  <c r="U21" i="3" s="1"/>
  <c r="O25" i="3"/>
  <c r="U19" i="3" l="1"/>
  <c r="U22" i="3"/>
  <c r="O7" i="3"/>
  <c r="S7" i="3"/>
  <c r="O11" i="3"/>
  <c r="S11" i="3"/>
  <c r="O17" i="3"/>
  <c r="S17" i="3"/>
  <c r="O20" i="3"/>
  <c r="S20" i="3"/>
  <c r="O13" i="3"/>
  <c r="S13" i="3"/>
  <c r="O8" i="3"/>
  <c r="S8" i="3"/>
  <c r="O9" i="3"/>
  <c r="S9" i="3"/>
  <c r="O14" i="3"/>
  <c r="S14" i="3"/>
  <c r="O16" i="3"/>
  <c r="S16" i="3"/>
  <c r="O10" i="3"/>
  <c r="S10" i="3"/>
  <c r="O18" i="3"/>
  <c r="S18" i="3"/>
  <c r="O15" i="3"/>
  <c r="S15" i="3"/>
  <c r="O23" i="3"/>
  <c r="S23" i="3"/>
  <c r="O26" i="3"/>
  <c r="S26" i="3"/>
  <c r="S25" i="3"/>
  <c r="T25" i="3" s="1"/>
  <c r="S12" i="3"/>
  <c r="O12" i="3"/>
  <c r="T15" i="3" l="1"/>
  <c r="AB15" i="3" s="1"/>
  <c r="T26" i="3"/>
  <c r="AJ26" i="3" s="1"/>
  <c r="T23" i="3"/>
  <c r="AI23" i="3" s="1"/>
  <c r="W26" i="3"/>
  <c r="T18" i="3"/>
  <c r="AD18" i="3" s="1"/>
  <c r="T16" i="3"/>
  <c r="AF16" i="3" s="1"/>
  <c r="T14" i="3"/>
  <c r="W14" i="3" s="1"/>
  <c r="T9" i="3"/>
  <c r="AF9" i="3" s="1"/>
  <c r="T13" i="3"/>
  <c r="AH13" i="3" s="1"/>
  <c r="T20" i="3"/>
  <c r="AB20" i="3" s="1"/>
  <c r="T17" i="3"/>
  <c r="AJ17" i="3" s="1"/>
  <c r="T7" i="3"/>
  <c r="AJ7" i="3" s="1"/>
  <c r="T11" i="3"/>
  <c r="AJ11" i="3" s="1"/>
  <c r="W7" i="3"/>
  <c r="W25" i="3"/>
  <c r="AB25" i="3"/>
  <c r="AF25" i="3"/>
  <c r="AJ25" i="3"/>
  <c r="AE25" i="3"/>
  <c r="AC25" i="3"/>
  <c r="AG25" i="3"/>
  <c r="AI25" i="3"/>
  <c r="AD25" i="3"/>
  <c r="AH25" i="3"/>
  <c r="T10" i="3"/>
  <c r="W10" i="3" s="1"/>
  <c r="T8" i="3"/>
  <c r="W8" i="3" s="1"/>
  <c r="W23" i="3" l="1"/>
  <c r="AG15" i="3"/>
  <c r="AG26" i="3"/>
  <c r="AH23" i="3"/>
  <c r="AB23" i="3"/>
  <c r="AD23" i="3"/>
  <c r="AF23" i="3"/>
  <c r="AE23" i="3"/>
  <c r="AG23" i="3"/>
  <c r="AC23" i="3"/>
  <c r="AJ23" i="3"/>
  <c r="W15" i="3"/>
  <c r="AH15" i="3"/>
  <c r="AC15" i="3"/>
  <c r="AJ15" i="3"/>
  <c r="AI15" i="3"/>
  <c r="AF15" i="3"/>
  <c r="AE15" i="3"/>
  <c r="AD15" i="3"/>
  <c r="AI26" i="3"/>
  <c r="AC26" i="3"/>
  <c r="AF26" i="3"/>
  <c r="AH26" i="3"/>
  <c r="AE26" i="3"/>
  <c r="AD26" i="3"/>
  <c r="AB26" i="3"/>
  <c r="W17" i="3"/>
  <c r="W18" i="3"/>
  <c r="W13" i="3"/>
  <c r="AB18" i="3"/>
  <c r="AE18" i="3"/>
  <c r="AH18" i="3"/>
  <c r="AI7" i="3"/>
  <c r="AH7" i="3"/>
  <c r="AC7" i="3"/>
  <c r="AF14" i="3"/>
  <c r="AD14" i="3"/>
  <c r="AE14" i="3"/>
  <c r="AG17" i="3"/>
  <c r="AB17" i="3"/>
  <c r="AE9" i="3"/>
  <c r="AC9" i="3"/>
  <c r="AC13" i="3"/>
  <c r="AI13" i="3"/>
  <c r="AE17" i="3"/>
  <c r="AH14" i="3"/>
  <c r="AF17" i="3"/>
  <c r="AD16" i="3"/>
  <c r="AJ14" i="3"/>
  <c r="AC14" i="3"/>
  <c r="AB14" i="3"/>
  <c r="AD17" i="3"/>
  <c r="AG14" i="3"/>
  <c r="AH17" i="3"/>
  <c r="AI14" i="3"/>
  <c r="AC17" i="3"/>
  <c r="AI17" i="3"/>
  <c r="AG7" i="3"/>
  <c r="AI9" i="3"/>
  <c r="AD20" i="3"/>
  <c r="AG16" i="3"/>
  <c r="W9" i="3"/>
  <c r="AB7" i="3"/>
  <c r="AD7" i="3"/>
  <c r="AH9" i="3"/>
  <c r="AJ20" i="3"/>
  <c r="AG20" i="3"/>
  <c r="AF20" i="3"/>
  <c r="AH16" i="3"/>
  <c r="AI20" i="3"/>
  <c r="AC20" i="3"/>
  <c r="W20" i="3"/>
  <c r="AI18" i="3"/>
  <c r="AJ18" i="3"/>
  <c r="AC18" i="3"/>
  <c r="AF18" i="3"/>
  <c r="AG18" i="3"/>
  <c r="W16" i="3"/>
  <c r="AJ16" i="3"/>
  <c r="AI16" i="3"/>
  <c r="AB16" i="3"/>
  <c r="AC16" i="3"/>
  <c r="AE16" i="3"/>
  <c r="AJ9" i="3"/>
  <c r="AB9" i="3"/>
  <c r="AD9" i="3"/>
  <c r="AG9" i="3"/>
  <c r="AE13" i="3"/>
  <c r="AJ13" i="3"/>
  <c r="AB13" i="3"/>
  <c r="AF13" i="3"/>
  <c r="AD13" i="3"/>
  <c r="AG13" i="3"/>
  <c r="AE20" i="3"/>
  <c r="AH20" i="3"/>
  <c r="AF7" i="3"/>
  <c r="AE7" i="3"/>
  <c r="W11" i="3"/>
  <c r="AD11" i="3"/>
  <c r="AG11" i="3"/>
  <c r="AC11" i="3"/>
  <c r="AB11" i="3"/>
  <c r="AE11" i="3"/>
  <c r="AI11" i="3"/>
  <c r="AH11" i="3"/>
  <c r="AF11" i="3"/>
  <c r="AD8" i="3"/>
  <c r="AI8" i="3"/>
  <c r="AC8" i="3"/>
  <c r="AH8" i="3"/>
  <c r="AB8" i="3"/>
  <c r="AE8" i="3"/>
  <c r="AJ8" i="3"/>
  <c r="AG8" i="3"/>
  <c r="AF8" i="3"/>
  <c r="AN25" i="3"/>
  <c r="AK25" i="3"/>
  <c r="AM25" i="3" s="1"/>
  <c r="AB10" i="3"/>
  <c r="AD10" i="3"/>
  <c r="AE10" i="3"/>
  <c r="AI10" i="3"/>
  <c r="AJ10" i="3"/>
  <c r="AG10" i="3"/>
  <c r="AC10" i="3"/>
  <c r="AF10" i="3"/>
  <c r="AH10" i="3"/>
  <c r="AK23" i="3" l="1"/>
  <c r="AM23" i="3" s="1"/>
  <c r="AN23" i="3"/>
  <c r="AK15" i="3"/>
  <c r="AM15" i="3" s="1"/>
  <c r="AN15" i="3"/>
  <c r="AK26" i="3"/>
  <c r="AM26" i="3" s="1"/>
  <c r="AN26" i="3"/>
  <c r="AN14" i="3"/>
  <c r="AK17" i="3"/>
  <c r="AM17" i="3" s="1"/>
  <c r="AN17" i="3"/>
  <c r="AK14" i="3"/>
  <c r="AM14" i="3" s="1"/>
  <c r="AK7" i="3"/>
  <c r="AM7" i="3" s="1"/>
  <c r="AN9" i="3"/>
  <c r="AK16" i="3"/>
  <c r="AM16" i="3" s="1"/>
  <c r="AN10" i="3"/>
  <c r="AN13" i="3"/>
  <c r="AN18" i="3"/>
  <c r="AN20" i="3"/>
  <c r="AK18" i="3"/>
  <c r="AM18" i="3" s="1"/>
  <c r="AN16" i="3"/>
  <c r="AK9" i="3"/>
  <c r="AM9" i="3" s="1"/>
  <c r="AK13" i="3"/>
  <c r="AM13" i="3" s="1"/>
  <c r="AK20" i="3"/>
  <c r="AM20" i="3" s="1"/>
  <c r="AN7" i="3"/>
  <c r="AN8" i="3"/>
  <c r="AK10" i="3"/>
  <c r="AM10" i="3" s="1"/>
  <c r="AN11" i="3"/>
  <c r="AK11" i="3"/>
  <c r="AM11" i="3" s="1"/>
  <c r="U25" i="3"/>
  <c r="AK8" i="3"/>
  <c r="AM8" i="3" s="1"/>
  <c r="U10" i="3" l="1"/>
  <c r="U23" i="3"/>
  <c r="U26" i="3"/>
  <c r="U15" i="3"/>
  <c r="U14" i="3"/>
  <c r="U17" i="3"/>
  <c r="U8" i="3"/>
  <c r="U13" i="3"/>
  <c r="U11" i="3"/>
  <c r="U7" i="3"/>
  <c r="U16" i="3"/>
  <c r="U9" i="3"/>
  <c r="U20" i="3"/>
  <c r="U18" i="3"/>
  <c r="T12" i="3"/>
  <c r="W12" i="3" s="1"/>
  <c r="AG12" i="3" l="1"/>
  <c r="AC12" i="3"/>
  <c r="AJ12" i="3"/>
  <c r="AI12" i="3"/>
  <c r="AD12" i="3"/>
  <c r="AB12" i="3"/>
  <c r="AH12" i="3"/>
  <c r="AF12" i="3"/>
  <c r="AE12" i="3"/>
  <c r="AK12" i="3" l="1"/>
  <c r="AM12" i="3" s="1"/>
  <c r="AN12" i="3"/>
  <c r="U12" i="3" l="1"/>
</calcChain>
</file>

<file path=xl/sharedStrings.xml><?xml version="1.0" encoding="utf-8"?>
<sst xmlns="http://schemas.openxmlformats.org/spreadsheetml/2006/main" count="408" uniqueCount="195">
  <si>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</si>
  <si>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</si>
  <si>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</si>
  <si>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</si>
  <si>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</si>
  <si>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</si>
  <si>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</si>
  <si>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</si>
  <si>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</si>
  <si>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</si>
  <si>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</si>
  <si>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</si>
  <si>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</si>
  <si>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</si>
  <si>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</si>
  <si>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</si>
  <si>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</si>
  <si>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</si>
  <si>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</si>
  <si>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</si>
  <si>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</si>
  <si>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</si>
  <si>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</si>
  <si>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</si>
  <si>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</si>
  <si>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</si>
  <si>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</si>
  <si>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</si>
  <si>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</si>
  <si>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</si>
  <si>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</si>
  <si>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</si>
  <si>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</si>
  <si>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</si>
  <si>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</si>
  <si>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</si>
  <si>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</si>
  <si>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</si>
  <si>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</si>
  <si>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</si>
  <si>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</si>
  <si>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</si>
  <si>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</si>
  <si>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</si>
  <si>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</si>
  <si>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</si>
  <si>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</si>
  <si>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</si>
  <si>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</si>
  <si>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</si>
  <si>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</si>
  <si>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</si>
  <si>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</si>
  <si>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</si>
  <si>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</si>
  <si>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</si>
  <si>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</si>
  <si>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</si>
  <si>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</si>
  <si>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</si>
  <si>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</si>
  <si>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</si>
  <si>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</si>
  <si>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</si>
  <si>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</si>
  <si>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</si>
  <si>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</si>
  <si>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</si>
  <si>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</si>
  <si>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</si>
  <si>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</si>
  <si>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</si>
  <si>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</si>
  <si>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</si>
  <si>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</si>
  <si>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</si>
  <si>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</si>
  <si>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</si>
  <si>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</si>
  <si>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</si>
  <si>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</si>
  <si>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</si>
  <si>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</si>
  <si>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</si>
  <si>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</si>
  <si>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</si>
  <si>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</si>
  <si>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</si>
  <si>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</si>
  <si>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</si>
  <si>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</si>
  <si>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</si>
  <si>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</si>
  <si>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</si>
  <si>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</si>
  <si>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</si>
  <si>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</si>
  <si>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</si>
  <si>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</si>
  <si>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</si>
  <si>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</si>
  <si>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</si>
  <si>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</si>
  <si>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</si>
  <si>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</si>
  <si>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</si>
  <si>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</si>
  <si>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</si>
  <si>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</si>
  <si>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</si>
  <si>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</si>
  <si>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</si>
  <si>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</si>
  <si>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</si>
  <si>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</si>
  <si>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</si>
  <si>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</si>
  <si>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</si>
  <si>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</si>
  <si>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</si>
  <si>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</si>
  <si>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</si>
  <si>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</si>
  <si>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</si>
  <si>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</si>
  <si>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</si>
  <si>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</si>
  <si>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</si>
  <si>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</si>
  <si>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</si>
  <si>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</si>
  <si>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</si>
  <si>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</si>
  <si>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</si>
  <si>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</si>
  <si>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</si>
  <si>
    <t>HC MARSEILLE</t>
  </si>
  <si>
    <t>Istres sports</t>
  </si>
  <si>
    <t>La compagnie de la barre</t>
  </si>
  <si>
    <t>SUD</t>
  </si>
  <si>
    <t>REYNAUD LIONEL</t>
  </si>
  <si>
    <t>CHAMPIONNATS DE PROVENCE</t>
  </si>
  <si>
    <t>MARSEILLE</t>
  </si>
  <si>
    <t>EEAR Monteux</t>
  </si>
  <si>
    <t>DE BARROS</t>
  </si>
  <si>
    <t>SERVAL CROSSFIT</t>
  </si>
  <si>
    <t>Unbroken</t>
  </si>
  <si>
    <t>BAILLIEUX</t>
  </si>
  <si>
    <t>Cyril</t>
  </si>
  <si>
    <t xml:space="preserve">BOYER </t>
  </si>
  <si>
    <t>Karsten</t>
  </si>
  <si>
    <t>CHC MONDRAGON</t>
  </si>
  <si>
    <t>H</t>
  </si>
  <si>
    <t>Fabio</t>
  </si>
  <si>
    <t>MARIN</t>
  </si>
  <si>
    <t>Clément</t>
  </si>
  <si>
    <t>CLAUX</t>
  </si>
  <si>
    <t>Anthony</t>
  </si>
  <si>
    <t>MOLESTI</t>
  </si>
  <si>
    <t>Alexandre</t>
  </si>
  <si>
    <t>CHANEAC</t>
  </si>
  <si>
    <t>Romain</t>
  </si>
  <si>
    <t>TEAM HALTERO LIFT</t>
  </si>
  <si>
    <t>NGUYEN</t>
  </si>
  <si>
    <t>Taie</t>
  </si>
  <si>
    <t>BOUSQUET</t>
  </si>
  <si>
    <t>Maxime</t>
  </si>
  <si>
    <t>CHEPIS</t>
  </si>
  <si>
    <t>Antoine</t>
  </si>
  <si>
    <t>TOURNEUR</t>
  </si>
  <si>
    <t>Axel</t>
  </si>
  <si>
    <t>BENOIT</t>
  </si>
  <si>
    <t>Joan</t>
  </si>
  <si>
    <t>Julien</t>
  </si>
  <si>
    <t>PADOVANI</t>
  </si>
  <si>
    <t>CAILLARD</t>
  </si>
  <si>
    <t>TOUMI BRADLEY</t>
  </si>
  <si>
    <t>TEYSSIER</t>
  </si>
  <si>
    <t>David</t>
  </si>
  <si>
    <t>GETTE</t>
  </si>
  <si>
    <t>Mickaël</t>
  </si>
  <si>
    <t>Charly</t>
  </si>
  <si>
    <t>CHEVALIER</t>
  </si>
  <si>
    <t>Valentin</t>
  </si>
  <si>
    <t>F</t>
  </si>
  <si>
    <t>AUTILLO</t>
  </si>
  <si>
    <t>Clara</t>
  </si>
  <si>
    <t>CROSSFIT ARLES</t>
  </si>
  <si>
    <t>ESTEVE</t>
  </si>
  <si>
    <t>BELMAS JEAN PAUL</t>
  </si>
  <si>
    <t>TEYSSIER DENIS</t>
  </si>
  <si>
    <t>TERME AIME</t>
  </si>
  <si>
    <t>MALDONADO NOEMIE</t>
  </si>
  <si>
    <t xml:space="preserve"> -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</si>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</sst>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4"/>
      <color rgb="FF66669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7" fillId="8" borderId="0" xfId="0" applyFont="1" applyFill="1" applyAlignment="1">
      <alignment horizontal="center"/>
    </xf>
    <xf numFmtId="0" fontId="1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164" fontId="15" fillId="11" borderId="8" xfId="0" applyNumberFormat="1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164" fontId="15" fillId="11" borderId="11" xfId="0" applyNumberFormat="1" applyFont="1" applyFill="1" applyBorder="1" applyAlignment="1" applyProtection="1">
      <alignment horizontal="center" vertical="center"/>
    </xf>
    <xf numFmtId="0" fontId="15" fillId="11" borderId="12" xfId="0" applyFont="1" applyFill="1" applyBorder="1" applyAlignment="1" applyProtection="1">
      <alignment horizontal="center" vertical="center"/>
    </xf>
    <xf numFmtId="2" fontId="21" fillId="2" borderId="16" xfId="0" applyNumberFormat="1" applyFont="1" applyFill="1" applyBorder="1" applyAlignment="1" applyProtection="1">
      <alignment horizontal="center" vertical="center"/>
      <protection locked="0"/>
    </xf>
    <xf numFmtId="2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4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4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4" fillId="2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5" fillId="3" borderId="37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18" fillId="12" borderId="43" xfId="0" applyFont="1" applyFill="1" applyBorder="1" applyAlignment="1">
      <alignment horizontal="center" vertical="center"/>
    </xf>
    <xf numFmtId="1" fontId="8" fillId="12" borderId="46" xfId="0" applyNumberFormat="1" applyFont="1" applyFill="1" applyBorder="1" applyAlignment="1" applyProtection="1">
      <alignment horizontal="center" vertical="center"/>
    </xf>
    <xf numFmtId="1" fontId="4" fillId="2" borderId="47" xfId="0" applyNumberFormat="1" applyFont="1" applyFill="1" applyBorder="1" applyAlignment="1" applyProtection="1">
      <alignment horizontal="center" vertical="center"/>
      <protection locked="0"/>
    </xf>
    <xf numFmtId="1" fontId="4" fillId="2" borderId="48" xfId="0" applyNumberFormat="1" applyFont="1" applyFill="1" applyBorder="1" applyAlignment="1" applyProtection="1">
      <alignment horizontal="center" vertical="center"/>
      <protection locked="0"/>
    </xf>
    <xf numFmtId="1" fontId="8" fillId="12" borderId="49" xfId="0" applyNumberFormat="1" applyFont="1" applyFill="1" applyBorder="1" applyAlignment="1" applyProtection="1">
      <alignment horizontal="center" vertical="center"/>
    </xf>
    <xf numFmtId="1" fontId="22" fillId="2" borderId="52" xfId="0" applyNumberFormat="1" applyFont="1" applyFill="1" applyBorder="1" applyAlignment="1" applyProtection="1">
      <alignment horizontal="center" vertical="center"/>
    </xf>
    <xf numFmtId="0" fontId="7" fillId="2" borderId="23" xfId="0" quotePrefix="1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2" fontId="12" fillId="2" borderId="5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164" fontId="3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64" fontId="3" fillId="2" borderId="29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164" fontId="3" fillId="2" borderId="30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0" fillId="10" borderId="0" xfId="0" applyFont="1" applyFill="1"/>
    <xf numFmtId="1" fontId="22" fillId="2" borderId="54" xfId="0" applyNumberFormat="1" applyFont="1" applyFill="1" applyBorder="1" applyAlignment="1" applyProtection="1">
      <alignment horizontal="center" vertical="center"/>
    </xf>
    <xf numFmtId="0" fontId="7" fillId="2" borderId="55" xfId="0" quotePrefix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</xf>
    <xf numFmtId="1" fontId="11" fillId="2" borderId="8" xfId="0" applyNumberFormat="1" applyFont="1" applyFill="1" applyBorder="1" applyAlignment="1" applyProtection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</xf>
    <xf numFmtId="2" fontId="21" fillId="3" borderId="14" xfId="0" applyNumberFormat="1" applyFont="1" applyFill="1" applyBorder="1" applyAlignment="1" applyProtection="1">
      <alignment horizontal="center" vertical="center"/>
      <protection locked="0"/>
    </xf>
    <xf numFmtId="1" fontId="4" fillId="3" borderId="44" xfId="0" applyNumberFormat="1" applyFont="1" applyFill="1" applyBorder="1" applyAlignment="1" applyProtection="1">
      <alignment horizontal="center" vertical="center"/>
      <protection locked="0"/>
    </xf>
    <xf numFmtId="2" fontId="21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3" borderId="47" xfId="0" applyNumberFormat="1" applyFont="1" applyFill="1" applyBorder="1" applyAlignment="1" applyProtection="1">
      <alignment horizontal="center" vertical="center"/>
      <protection locked="0"/>
    </xf>
    <xf numFmtId="1" fontId="4" fillId="3" borderId="48" xfId="0" applyNumberFormat="1" applyFont="1" applyFill="1" applyBorder="1" applyAlignment="1" applyProtection="1">
      <alignment horizontal="center" vertical="center"/>
      <protection locked="0"/>
    </xf>
    <xf numFmtId="1" fontId="4" fillId="13" borderId="45" xfId="0" applyNumberFormat="1" applyFont="1" applyFill="1" applyBorder="1" applyAlignment="1" applyProtection="1">
      <alignment horizontal="center" vertical="center"/>
      <protection locked="0"/>
    </xf>
    <xf numFmtId="1" fontId="4" fillId="13" borderId="48" xfId="0" applyNumberFormat="1" applyFont="1" applyFill="1" applyBorder="1" applyAlignment="1" applyProtection="1">
      <alignment horizontal="center" vertical="center"/>
      <protection locked="0"/>
    </xf>
    <xf numFmtId="1" fontId="4" fillId="13" borderId="47" xfId="0" applyNumberFormat="1" applyFont="1" applyFill="1" applyBorder="1" applyAlignment="1" applyProtection="1">
      <alignment horizontal="center" vertical="center"/>
      <protection locked="0"/>
    </xf>
    <xf numFmtId="1" fontId="4" fillId="13" borderId="50" xfId="0" applyNumberFormat="1" applyFont="1" applyFill="1" applyBorder="1" applyAlignment="1" applyProtection="1">
      <alignment horizontal="center" vertical="center"/>
      <protection locked="0"/>
    </xf>
    <xf numFmtId="1" fontId="4" fillId="13" borderId="51" xfId="0" applyNumberFormat="1" applyFont="1" applyFill="1" applyBorder="1" applyAlignment="1" applyProtection="1">
      <alignment horizontal="center" vertical="center"/>
      <protection locked="0"/>
    </xf>
    <xf numFmtId="0" fontId="24" fillId="13" borderId="23" xfId="0" applyNumberFormat="1" applyFont="1" applyFill="1" applyBorder="1" applyAlignment="1" applyProtection="1">
      <alignment horizontal="center" vertical="center"/>
      <protection locked="0"/>
    </xf>
    <xf numFmtId="0" fontId="24" fillId="3" borderId="23" xfId="0" applyNumberFormat="1" applyFont="1" applyFill="1" applyBorder="1" applyAlignment="1" applyProtection="1">
      <alignment horizontal="center" vertical="center"/>
      <protection locked="0"/>
    </xf>
    <xf numFmtId="0" fontId="15" fillId="11" borderId="8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167" fontId="28" fillId="2" borderId="5" xfId="0" applyNumberFormat="1" applyFont="1" applyFill="1" applyBorder="1" applyAlignment="1">
      <alignment horizontal="center" vertical="center"/>
    </xf>
    <xf numFmtId="167" fontId="28" fillId="2" borderId="6" xfId="0" applyNumberFormat="1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1" fillId="3" borderId="36" xfId="0" applyFont="1" applyFill="1" applyBorder="1" applyAlignment="1">
      <alignment horizontal="left" vertical="top"/>
    </xf>
    <xf numFmtId="0" fontId="1" fillId="3" borderId="38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left" vertical="top"/>
    </xf>
    <xf numFmtId="0" fontId="1" fillId="3" borderId="42" xfId="0" applyFont="1" applyFill="1" applyBorder="1" applyAlignment="1">
      <alignment horizontal="left" vertical="top"/>
    </xf>
    <xf numFmtId="0" fontId="26" fillId="3" borderId="37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37"/>
  <sheetViews>
    <sheetView tabSelected="1" topLeftCell="B1" zoomScale="77" zoomScaleNormal="77" workbookViewId="0">
      <selection activeCell="D25" sqref="D25"/>
    </sheetView>
  </sheetViews>
  <sheetFormatPr baseColWidth="10" defaultColWidth="11.5" defaultRowHeight="13" x14ac:dyDescent="0.15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5" width="1.6640625" style="1" customWidth="1"/>
    <col min="26" max="27" width="11.5" style="1" customWidth="1"/>
    <col min="28" max="40" width="11.5" style="38" hidden="1" customWidth="1"/>
    <col min="41" max="107" width="11.5" style="38"/>
    <col min="108" max="16384" width="11.5" style="1"/>
  </cols>
  <sheetData>
    <row r="1" spans="1:107" ht="5" customHeight="1" thickBot="1" x14ac:dyDescent="0.2"/>
    <row r="2" spans="1:107" s="10" customFormat="1" ht="30" customHeight="1" x14ac:dyDescent="0.15">
      <c r="B2" s="11"/>
      <c r="C2" s="11"/>
      <c r="D2" s="165" t="s">
        <v>6</v>
      </c>
      <c r="E2" s="166"/>
      <c r="F2" s="166"/>
      <c r="G2" s="166"/>
      <c r="H2" s="166"/>
      <c r="I2" s="166"/>
      <c r="J2" s="166"/>
      <c r="K2" s="166"/>
      <c r="L2" s="68"/>
      <c r="M2" s="69"/>
      <c r="N2" s="166" t="s">
        <v>7</v>
      </c>
      <c r="O2" s="166"/>
      <c r="P2" s="166"/>
      <c r="Q2" s="166"/>
      <c r="R2" s="166"/>
      <c r="S2" s="166"/>
      <c r="T2" s="69"/>
      <c r="U2" s="69"/>
      <c r="V2" s="166" t="s">
        <v>16</v>
      </c>
      <c r="W2" s="167"/>
      <c r="X2" s="11"/>
      <c r="Y2" s="11"/>
      <c r="Z2" s="11"/>
      <c r="AA2" s="11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</row>
    <row r="3" spans="1:107" s="10" customFormat="1" ht="30" customHeight="1" thickBot="1" x14ac:dyDescent="0.2">
      <c r="B3" s="11"/>
      <c r="C3" s="11"/>
      <c r="D3" s="168" t="s">
        <v>141</v>
      </c>
      <c r="E3" s="169"/>
      <c r="F3" s="169"/>
      <c r="G3" s="169"/>
      <c r="H3" s="169"/>
      <c r="I3" s="169"/>
      <c r="J3" s="169"/>
      <c r="K3" s="169"/>
      <c r="L3" s="70"/>
      <c r="M3" s="70"/>
      <c r="N3" s="169" t="s">
        <v>142</v>
      </c>
      <c r="O3" s="169"/>
      <c r="P3" s="169"/>
      <c r="Q3" s="169"/>
      <c r="R3" s="169"/>
      <c r="S3" s="169"/>
      <c r="T3" s="70"/>
      <c r="U3" s="70"/>
      <c r="V3" s="170">
        <v>43883</v>
      </c>
      <c r="W3" s="171"/>
      <c r="X3" s="11"/>
      <c r="Y3" s="11"/>
      <c r="Z3" s="11"/>
      <c r="AA3" s="11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</row>
    <row r="4" spans="1:107" s="9" customFormat="1" ht="10" customHeight="1" thickBot="1" x14ac:dyDescent="0.2">
      <c r="A4" s="8"/>
      <c r="B4" s="17"/>
      <c r="C4" s="18"/>
      <c r="D4" s="19"/>
      <c r="E4" s="19"/>
      <c r="F4" s="20"/>
      <c r="G4" s="21"/>
      <c r="H4" s="22"/>
      <c r="I4" s="23"/>
      <c r="J4" s="24"/>
      <c r="K4" s="25"/>
      <c r="L4" s="26"/>
      <c r="M4" s="26"/>
      <c r="N4" s="26"/>
      <c r="O4" s="27"/>
      <c r="P4" s="26"/>
      <c r="Q4" s="26"/>
      <c r="R4" s="26"/>
      <c r="S4" s="27"/>
      <c r="T4" s="27"/>
      <c r="U4" s="28"/>
      <c r="V4" s="20"/>
      <c r="W4" s="20"/>
      <c r="X4" s="7"/>
      <c r="Y4" s="7"/>
      <c r="Z4" s="7"/>
      <c r="AA4" s="7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s="16" customFormat="1" ht="18" customHeight="1" thickBot="1" x14ac:dyDescent="0.2">
      <c r="A5" s="14"/>
      <c r="B5" s="73" t="s">
        <v>10</v>
      </c>
      <c r="C5" s="74" t="s">
        <v>11</v>
      </c>
      <c r="D5" s="74" t="s">
        <v>8</v>
      </c>
      <c r="E5" s="74" t="s">
        <v>39</v>
      </c>
      <c r="F5" s="164" t="s">
        <v>0</v>
      </c>
      <c r="G5" s="164"/>
      <c r="H5" s="74" t="s">
        <v>13</v>
      </c>
      <c r="I5" s="74" t="s">
        <v>12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14</v>
      </c>
      <c r="P5" s="71">
        <v>1</v>
      </c>
      <c r="Q5" s="72">
        <v>2</v>
      </c>
      <c r="R5" s="72">
        <v>3</v>
      </c>
      <c r="S5" s="76" t="s">
        <v>15</v>
      </c>
      <c r="T5" s="77" t="s">
        <v>2</v>
      </c>
      <c r="U5" s="78" t="s">
        <v>3</v>
      </c>
      <c r="V5" s="78" t="s">
        <v>9</v>
      </c>
      <c r="W5" s="79" t="s">
        <v>4</v>
      </c>
      <c r="X5" s="43"/>
      <c r="Y5" s="43"/>
      <c r="Z5" s="15"/>
      <c r="AA5" s="15"/>
      <c r="AB5" s="134" t="s">
        <v>124</v>
      </c>
      <c r="AC5" s="134" t="s">
        <v>125</v>
      </c>
      <c r="AD5" s="134" t="s">
        <v>126</v>
      </c>
      <c r="AE5" s="134" t="s">
        <v>127</v>
      </c>
      <c r="AF5" s="134" t="s">
        <v>128</v>
      </c>
      <c r="AG5" s="134" t="s">
        <v>129</v>
      </c>
      <c r="AH5" s="134" t="s">
        <v>130</v>
      </c>
      <c r="AI5" s="134" t="s">
        <v>131</v>
      </c>
      <c r="AJ5" s="134" t="s">
        <v>132</v>
      </c>
      <c r="AK5" s="135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</row>
    <row r="6" spans="1:107" s="9" customFormat="1" ht="5" customHeight="1" thickBot="1" x14ac:dyDescent="0.2">
      <c r="A6" s="8"/>
      <c r="B6" s="17"/>
      <c r="C6" s="18"/>
      <c r="D6" s="20"/>
      <c r="E6" s="20"/>
      <c r="F6" s="21"/>
      <c r="G6" s="22"/>
      <c r="H6" s="24"/>
      <c r="I6" s="23"/>
      <c r="J6" s="19"/>
      <c r="K6" s="25"/>
      <c r="L6" s="26"/>
      <c r="M6" s="26"/>
      <c r="N6" s="26"/>
      <c r="O6" s="27"/>
      <c r="P6" s="26"/>
      <c r="Q6" s="26"/>
      <c r="R6" s="26"/>
      <c r="S6" s="27"/>
      <c r="T6" s="150"/>
      <c r="U6" s="151"/>
      <c r="V6" s="151"/>
      <c r="W6" s="151"/>
      <c r="X6" s="7"/>
      <c r="Y6" s="7"/>
      <c r="Z6" s="7"/>
      <c r="AA6" s="7"/>
      <c r="AB6" s="136" t="s">
        <v>133</v>
      </c>
      <c r="AC6" s="136" t="s">
        <v>134</v>
      </c>
      <c r="AD6" s="136" t="s">
        <v>126</v>
      </c>
      <c r="AE6" s="136" t="s">
        <v>127</v>
      </c>
      <c r="AF6" s="136" t="s">
        <v>128</v>
      </c>
      <c r="AG6" s="136" t="s">
        <v>129</v>
      </c>
      <c r="AH6" s="136" t="s">
        <v>130</v>
      </c>
      <c r="AI6" s="136" t="s">
        <v>131</v>
      </c>
      <c r="AJ6" s="136" t="s">
        <v>132</v>
      </c>
      <c r="AK6" s="136"/>
      <c r="AL6" s="117"/>
      <c r="AM6" s="117"/>
      <c r="AN6" s="117"/>
      <c r="AO6" s="117"/>
      <c r="AP6" s="117"/>
      <c r="AQ6" s="117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s="5" customFormat="1" ht="25.5" customHeight="1" x14ac:dyDescent="0.15">
      <c r="B7" s="82" t="s">
        <v>139</v>
      </c>
      <c r="C7" s="85">
        <v>452596</v>
      </c>
      <c r="D7" s="86"/>
      <c r="E7" s="91" t="s">
        <v>184</v>
      </c>
      <c r="F7" s="139" t="s">
        <v>185</v>
      </c>
      <c r="G7" s="140" t="s">
        <v>186</v>
      </c>
      <c r="H7" s="94">
        <v>1993</v>
      </c>
      <c r="I7" s="97" t="s">
        <v>187</v>
      </c>
      <c r="J7" s="98"/>
      <c r="K7" s="152">
        <v>58.75</v>
      </c>
      <c r="L7" s="153">
        <v>-60</v>
      </c>
      <c r="M7" s="157">
        <v>60</v>
      </c>
      <c r="N7" s="157">
        <v>65</v>
      </c>
      <c r="O7" s="126">
        <f t="shared" ref="O7:O26" si="0">IF(E7="","",IF(MAXA(L7:N7)&lt;=0,0,MAXA(L7:N7)))</f>
        <v>65</v>
      </c>
      <c r="P7" s="153">
        <v>-75</v>
      </c>
      <c r="Q7" s="157">
        <v>75</v>
      </c>
      <c r="R7" s="157">
        <v>80</v>
      </c>
      <c r="S7" s="126">
        <f t="shared" ref="S7:S26" si="1">IF(E7="","",IF(MAXA(P7:R7)&lt;=0,0,MAXA(P7:R7)))</f>
        <v>80</v>
      </c>
      <c r="T7" s="146">
        <f t="shared" ref="T7:T26" si="2">IF(E7="","",IF(OR(O7=0,S7=0),0,O7+S7))</f>
        <v>145</v>
      </c>
      <c r="U7" s="147" t="str">
        <f t="shared" ref="U7:U26" si="3">+CONCATENATE(AM7," ",AN7)</f>
        <v>NAT + 0</v>
      </c>
      <c r="V7" s="148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FL$29,5),IF(AND(H7&gt;2002,H7&lt;2005),VLOOKUP(K7,Minimas!$G$15:$L$29,4),IF(AND(H7&gt;2004,H7&lt;2007),VLOOKUP(K7,Minimas!$G$15:$L$29,3),VLOOKUP(K7,Minimas!$G$15:$L$29,2)))))))</f>
        <v>SE F59</v>
      </c>
      <c r="W7" s="149">
        <f t="shared" ref="W7:W26" si="4">IF(E7=" "," ",IF(E7="H",10^(0.75194503*LOG(K7/175.508)^2)*T7,IF(E7="F",10^(0.783497476* LOG(K7/153.655)^2)*T7,"")))</f>
        <v>198.59207386843627</v>
      </c>
      <c r="X7" s="44"/>
      <c r="Y7" s="44"/>
      <c r="AB7" s="137">
        <f>T7-HLOOKUP(V7,Minimas!$C$3:$CD$12,2,FALSE)</f>
        <v>80</v>
      </c>
      <c r="AC7" s="137">
        <f>T7-HLOOKUP(V7,Minimas!$C$3:$CD$12,3,FALSE)</f>
        <v>65</v>
      </c>
      <c r="AD7" s="137">
        <f>T7-HLOOKUP(V7,Minimas!$C$3:$CD$12,4,FALSE)</f>
        <v>53</v>
      </c>
      <c r="AE7" s="137">
        <f>T7-HLOOKUP(V7,Minimas!$C$3:$CD$12,5,FALSE)</f>
        <v>38</v>
      </c>
      <c r="AF7" s="137">
        <f>T7-HLOOKUP(V7,Minimas!$C$3:$CD$12,6,FALSE)</f>
        <v>15</v>
      </c>
      <c r="AG7" s="137">
        <f>T7-HLOOKUP(V7,Minimas!$C$3:$CD$12,7,FALSE)</f>
        <v>0</v>
      </c>
      <c r="AH7" s="137">
        <f>T7-HLOOKUP(V7,Minimas!$C$3:$CD$12,8,FALSE)</f>
        <v>-20</v>
      </c>
      <c r="AI7" s="137">
        <f>T7-HLOOKUP(V7,Minimas!$C$3:$CD$12,9,FALSE)</f>
        <v>-40</v>
      </c>
      <c r="AJ7" s="137">
        <f>T7-HLOOKUP(V7,Minimas!$C$3:$CD$12,10,FALSE)</f>
        <v>-55</v>
      </c>
      <c r="AK7" s="138" t="str">
        <f t="shared" ref="AK7:AK26" si="5">IF(E7=0," ",IF(AJ7&gt;=0,$AJ$5,IF(AI7&gt;=0,$AI$5,IF(AH7&gt;=0,$AH$5,IF(AG7&gt;=0,$AG$5,IF(AF7&gt;=0,$AF$5,IF(AE7&gt;=0,$AE$5,IF(AD7&gt;=0,$AD$5,IF(AC7&gt;=0,$AC$5,$AB$5)))))))))</f>
        <v>NAT +</v>
      </c>
      <c r="AL7" s="138"/>
      <c r="AM7" s="138" t="str">
        <f t="shared" ref="AM7:AM26" si="6">IF(AK7="","",AK7)</f>
        <v>NAT +</v>
      </c>
      <c r="AN7" s="138">
        <f t="shared" ref="AN7:AN26" si="7">IF(E7=0," ",IF(AJ7&gt;=0,AJ7,IF(AI7&gt;=0,AI7,IF(AH7&gt;=0,AH7,IF(AG7&gt;=0,AG7,IF(AF7&gt;=0,AF7,IF(AE7&gt;=0,AE7,IF(AD7&gt;=0,AD7,IF(AC7&gt;=0,AC7,AB7)))))))))</f>
        <v>0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</row>
    <row r="8" spans="1:107" s="5" customFormat="1" ht="25.5" customHeight="1" x14ac:dyDescent="0.15">
      <c r="B8" s="83" t="s">
        <v>139</v>
      </c>
      <c r="C8" s="87">
        <v>438946</v>
      </c>
      <c r="D8" s="162">
        <v>1</v>
      </c>
      <c r="E8" s="92" t="s">
        <v>152</v>
      </c>
      <c r="F8" s="141" t="s">
        <v>147</v>
      </c>
      <c r="G8" s="142" t="s">
        <v>148</v>
      </c>
      <c r="H8" s="95">
        <v>2005</v>
      </c>
      <c r="I8" s="99" t="s">
        <v>143</v>
      </c>
      <c r="J8" s="100"/>
      <c r="K8" s="154">
        <v>45.9</v>
      </c>
      <c r="L8" s="159">
        <v>46</v>
      </c>
      <c r="M8" s="158">
        <v>49</v>
      </c>
      <c r="N8" s="158">
        <v>51</v>
      </c>
      <c r="O8" s="129">
        <f t="shared" si="0"/>
        <v>51</v>
      </c>
      <c r="P8" s="159">
        <v>60</v>
      </c>
      <c r="Q8" s="158">
        <v>65</v>
      </c>
      <c r="R8" s="158">
        <v>68</v>
      </c>
      <c r="S8" s="129">
        <f t="shared" si="1"/>
        <v>68</v>
      </c>
      <c r="T8" s="130">
        <f t="shared" si="2"/>
        <v>119</v>
      </c>
      <c r="U8" s="131" t="str">
        <f t="shared" si="3"/>
        <v>NAT + 4</v>
      </c>
      <c r="V8" s="132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FL$29,5),IF(AND(H8&gt;2002,H8&lt;2005),VLOOKUP(K8,Minimas!$G$15:$L$29,4),IF(AND(H8&gt;2004,H8&lt;2007),VLOOKUP(K8,Minimas!$G$15:$L$29,3),VLOOKUP(K8,Minimas!$G$15:$L$29,2)))))))</f>
        <v>U15 M49</v>
      </c>
      <c r="W8" s="133">
        <f t="shared" si="4"/>
        <v>214.12767262949191</v>
      </c>
      <c r="X8" s="44"/>
      <c r="Y8" s="44"/>
      <c r="AB8" s="137">
        <f>T8-HLOOKUP(V8,Minimas!$C$3:$CD$12,2,FALSE)</f>
        <v>79</v>
      </c>
      <c r="AC8" s="137">
        <f>T8-HLOOKUP(V8,Minimas!$C$3:$CD$12,3,FALSE)</f>
        <v>64</v>
      </c>
      <c r="AD8" s="137">
        <f>T8-HLOOKUP(V8,Minimas!$C$3:$CD$12,4,FALSE)</f>
        <v>49</v>
      </c>
      <c r="AE8" s="137">
        <f>T8-HLOOKUP(V8,Minimas!$C$3:$CD$12,5,FALSE)</f>
        <v>34</v>
      </c>
      <c r="AF8" s="137">
        <f>T8-HLOOKUP(V8,Minimas!$C$3:$CD$12,6,FALSE)</f>
        <v>19</v>
      </c>
      <c r="AG8" s="137">
        <f>T8-HLOOKUP(V8,Minimas!$C$3:$CD$12,7,FALSE)</f>
        <v>4</v>
      </c>
      <c r="AH8" s="137">
        <f>T8-HLOOKUP(V8,Minimas!$C$3:$CD$12,8,FALSE)</f>
        <v>-11</v>
      </c>
      <c r="AI8" s="137">
        <f>T8-HLOOKUP(V8,Minimas!$C$3:$CD$12,9,FALSE)</f>
        <v>-26</v>
      </c>
      <c r="AJ8" s="137">
        <f>T8-HLOOKUP(V8,Minimas!$C$3:$CD$12,10,FALSE)</f>
        <v>-156</v>
      </c>
      <c r="AK8" s="138" t="str">
        <f t="shared" si="5"/>
        <v>NAT +</v>
      </c>
      <c r="AL8" s="138"/>
      <c r="AM8" s="138" t="str">
        <f t="shared" si="6"/>
        <v>NAT +</v>
      </c>
      <c r="AN8" s="138">
        <f t="shared" si="7"/>
        <v>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</row>
    <row r="9" spans="1:107" s="5" customFormat="1" ht="25.5" customHeight="1" x14ac:dyDescent="0.15">
      <c r="B9" s="83" t="s">
        <v>139</v>
      </c>
      <c r="C9" s="87">
        <v>439449</v>
      </c>
      <c r="D9" s="88">
        <v>1</v>
      </c>
      <c r="E9" s="92" t="s">
        <v>152</v>
      </c>
      <c r="F9" s="141" t="s">
        <v>149</v>
      </c>
      <c r="G9" s="142" t="s">
        <v>150</v>
      </c>
      <c r="H9" s="95">
        <v>2006</v>
      </c>
      <c r="I9" s="99" t="s">
        <v>151</v>
      </c>
      <c r="J9" s="100" t="s">
        <v>40</v>
      </c>
      <c r="K9" s="154">
        <v>53.2</v>
      </c>
      <c r="L9" s="155">
        <v>-39</v>
      </c>
      <c r="M9" s="158">
        <v>39</v>
      </c>
      <c r="N9" s="158">
        <v>43</v>
      </c>
      <c r="O9" s="129">
        <f t="shared" si="0"/>
        <v>43</v>
      </c>
      <c r="P9" s="159">
        <v>53</v>
      </c>
      <c r="Q9" s="158">
        <v>57</v>
      </c>
      <c r="R9" s="158">
        <v>60</v>
      </c>
      <c r="S9" s="129">
        <f t="shared" si="1"/>
        <v>60</v>
      </c>
      <c r="T9" s="130">
        <f t="shared" si="2"/>
        <v>103</v>
      </c>
      <c r="U9" s="131" t="str">
        <f t="shared" si="3"/>
        <v>IRG + 3</v>
      </c>
      <c r="V9" s="132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FL$29,5),IF(AND(H9&gt;2002,H9&lt;2005),VLOOKUP(K9,Minimas!$G$15:$L$29,4),IF(AND(H9&gt;2004,H9&lt;2007),VLOOKUP(K9,Minimas!$G$15:$L$29,3),VLOOKUP(K9,Minimas!$G$15:$L$29,2)))))))</f>
        <v>U15 M55</v>
      </c>
      <c r="W9" s="133">
        <f t="shared" si="4"/>
        <v>164.02210355072273</v>
      </c>
      <c r="X9" s="44"/>
      <c r="Y9" s="44"/>
      <c r="AB9" s="137">
        <f>T9-HLOOKUP(V9,Minimas!$C$3:$CD$12,2,FALSE)</f>
        <v>48</v>
      </c>
      <c r="AC9" s="137">
        <f>T9-HLOOKUP(V9,Minimas!$C$3:$CD$12,3,FALSE)</f>
        <v>33</v>
      </c>
      <c r="AD9" s="137">
        <f>T9-HLOOKUP(V9,Minimas!$C$3:$CD$12,4,FALSE)</f>
        <v>18</v>
      </c>
      <c r="AE9" s="137">
        <f>T9-HLOOKUP(V9,Minimas!$C$3:$CD$12,5,FALSE)</f>
        <v>3</v>
      </c>
      <c r="AF9" s="137">
        <f>T9-HLOOKUP(V9,Minimas!$C$3:$CD$12,6,FALSE)</f>
        <v>-12</v>
      </c>
      <c r="AG9" s="137">
        <f>T9-HLOOKUP(V9,Minimas!$C$3:$CD$12,7,FALSE)</f>
        <v>-27</v>
      </c>
      <c r="AH9" s="137">
        <f>T9-HLOOKUP(V9,Minimas!$C$3:$CD$12,8,FALSE)</f>
        <v>-47</v>
      </c>
      <c r="AI9" s="137">
        <f>T9-HLOOKUP(V9,Minimas!$C$3:$CD$12,9,FALSE)</f>
        <v>-67</v>
      </c>
      <c r="AJ9" s="137">
        <f>T9-HLOOKUP(V9,Minimas!$C$3:$CD$12,10,FALSE)</f>
        <v>-172</v>
      </c>
      <c r="AK9" s="138" t="str">
        <f t="shared" si="5"/>
        <v>IRG +</v>
      </c>
      <c r="AL9" s="138"/>
      <c r="AM9" s="138" t="str">
        <f t="shared" si="6"/>
        <v>IRG +</v>
      </c>
      <c r="AN9" s="138">
        <f t="shared" si="7"/>
        <v>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</row>
    <row r="10" spans="1:107" s="5" customFormat="1" ht="25.5" customHeight="1" x14ac:dyDescent="0.15">
      <c r="B10" s="83" t="s">
        <v>139</v>
      </c>
      <c r="C10" s="87">
        <v>401154</v>
      </c>
      <c r="D10" s="162">
        <v>1</v>
      </c>
      <c r="E10" s="92" t="s">
        <v>152</v>
      </c>
      <c r="F10" s="141" t="s">
        <v>144</v>
      </c>
      <c r="G10" s="142" t="s">
        <v>153</v>
      </c>
      <c r="H10" s="95">
        <v>2004</v>
      </c>
      <c r="I10" s="99" t="s">
        <v>137</v>
      </c>
      <c r="J10" s="100"/>
      <c r="K10" s="154">
        <v>68</v>
      </c>
      <c r="L10" s="159">
        <v>85</v>
      </c>
      <c r="M10" s="158">
        <v>90</v>
      </c>
      <c r="N10" s="158">
        <v>93</v>
      </c>
      <c r="O10" s="129">
        <f t="shared" si="0"/>
        <v>93</v>
      </c>
      <c r="P10" s="159">
        <v>103</v>
      </c>
      <c r="Q10" s="158">
        <v>107</v>
      </c>
      <c r="R10" s="156" t="s">
        <v>193</v>
      </c>
      <c r="S10" s="129">
        <f t="shared" si="1"/>
        <v>107</v>
      </c>
      <c r="T10" s="130">
        <f t="shared" si="2"/>
        <v>200</v>
      </c>
      <c r="U10" s="131" t="str">
        <f t="shared" si="3"/>
        <v>NAT + 0</v>
      </c>
      <c r="V10" s="132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FL$29,5),IF(AND(H10&gt;2002,H10&lt;2005),VLOOKUP(K10,Minimas!$G$15:$L$29,4),IF(AND(H10&gt;2004,H10&lt;2007),VLOOKUP(K10,Minimas!$G$15:$L$29,3),VLOOKUP(K10,Minimas!$G$15:$L$29,2)))))))</f>
        <v>U17 M73</v>
      </c>
      <c r="W10" s="133">
        <f t="shared" si="4"/>
        <v>268.2482106416349</v>
      </c>
      <c r="X10" s="44"/>
      <c r="Y10" s="44"/>
      <c r="AB10" s="137">
        <f>T10-HLOOKUP(V10,Minimas!$C$3:$CD$12,2,FALSE)</f>
        <v>100</v>
      </c>
      <c r="AC10" s="137">
        <f>T10-HLOOKUP(V10,Minimas!$C$3:$CD$12,3,FALSE)</f>
        <v>80</v>
      </c>
      <c r="AD10" s="137">
        <f>T10-HLOOKUP(V10,Minimas!$C$3:$CD$12,4,FALSE)</f>
        <v>60</v>
      </c>
      <c r="AE10" s="137">
        <f>T10-HLOOKUP(V10,Minimas!$C$3:$CD$12,5,FALSE)</f>
        <v>40</v>
      </c>
      <c r="AF10" s="137">
        <f>T10-HLOOKUP(V10,Minimas!$C$3:$CD$12,6,FALSE)</f>
        <v>20</v>
      </c>
      <c r="AG10" s="137">
        <f>T10-HLOOKUP(V10,Minimas!$C$3:$CD$12,7,FALSE)</f>
        <v>0</v>
      </c>
      <c r="AH10" s="137">
        <f>T10-HLOOKUP(V10,Minimas!$C$3:$CD$12,8,FALSE)</f>
        <v>-20</v>
      </c>
      <c r="AI10" s="137">
        <f>T10-HLOOKUP(V10,Minimas!$C$3:$CD$12,9,FALSE)</f>
        <v>-40</v>
      </c>
      <c r="AJ10" s="137">
        <f>T10-HLOOKUP(V10,Minimas!$C$3:$CD$12,10,FALSE)</f>
        <v>-115</v>
      </c>
      <c r="AK10" s="138" t="str">
        <f t="shared" si="5"/>
        <v>NAT +</v>
      </c>
      <c r="AL10" s="138"/>
      <c r="AM10" s="138" t="str">
        <f t="shared" si="6"/>
        <v>NAT +</v>
      </c>
      <c r="AN10" s="138">
        <f t="shared" si="7"/>
        <v>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</row>
    <row r="11" spans="1:107" s="5" customFormat="1" ht="25.5" customHeight="1" x14ac:dyDescent="0.15">
      <c r="B11" s="83" t="s">
        <v>139</v>
      </c>
      <c r="C11" s="87">
        <v>442960</v>
      </c>
      <c r="D11" s="88">
        <v>1</v>
      </c>
      <c r="E11" s="92" t="s">
        <v>152</v>
      </c>
      <c r="F11" s="141" t="s">
        <v>154</v>
      </c>
      <c r="G11" s="142" t="s">
        <v>155</v>
      </c>
      <c r="H11" s="95">
        <v>2002</v>
      </c>
      <c r="I11" s="99" t="s">
        <v>151</v>
      </c>
      <c r="J11" s="100"/>
      <c r="K11" s="154">
        <v>71</v>
      </c>
      <c r="L11" s="159">
        <v>80</v>
      </c>
      <c r="M11" s="156">
        <v>-85</v>
      </c>
      <c r="N11" s="156">
        <v>-87</v>
      </c>
      <c r="O11" s="129">
        <f t="shared" si="0"/>
        <v>80</v>
      </c>
      <c r="P11" s="159">
        <v>95</v>
      </c>
      <c r="Q11" s="156">
        <v>-100</v>
      </c>
      <c r="R11" s="156" t="s">
        <v>193</v>
      </c>
      <c r="S11" s="129">
        <f t="shared" si="1"/>
        <v>95</v>
      </c>
      <c r="T11" s="130">
        <f t="shared" si="2"/>
        <v>175</v>
      </c>
      <c r="U11" s="131" t="str">
        <f t="shared" si="3"/>
        <v>REG + 15</v>
      </c>
      <c r="V11" s="132" t="str">
        <f>IF(E11=0," ",IF(E11="H",IF(H11&lt;2000,VLOOKUP(K11,Minimas!$A$15:$F$29,6),IF(AND(H11&gt;1999,H11&lt;2003),VLOOKUP(K11,Minimas!$A$15:$F$29,5),IF(AND(H11&gt;2002,H11&lt;2005),VLOOKUP(K11,Minimas!$A$15:$F$29,4),IF(AND(H11&gt;2004,H11&lt;2007),VLOOKUP(K11,Minimas!$A$15:$F$29,3),VLOOKUP(K11,Minimas!$A$15:$F$29,2))))),IF(H11&lt;2000,VLOOKUP(K11,Minimas!$G$15:$L$29,6),IF(AND(H11&gt;1999,H11&lt;2003),VLOOKUP(K11,Minimas!$G$15:$FL$29,5),IF(AND(H11&gt;2002,H11&lt;2005),VLOOKUP(K11,Minimas!$G$15:$L$29,4),IF(AND(H11&gt;2004,H11&lt;2007),VLOOKUP(K11,Minimas!$G$15:$L$29,3),VLOOKUP(K11,Minimas!$G$15:$L$29,2)))))))</f>
        <v>U20 M73</v>
      </c>
      <c r="W11" s="133">
        <f t="shared" si="4"/>
        <v>228.66410875596196</v>
      </c>
      <c r="X11" s="44"/>
      <c r="Y11" s="44"/>
      <c r="AB11" s="137">
        <f>T11-HLOOKUP(V11,Minimas!$C$3:$CD$12,2,FALSE)</f>
        <v>55</v>
      </c>
      <c r="AC11" s="137">
        <f>T11-HLOOKUP(V11,Minimas!$C$3:$CD$12,3,FALSE)</f>
        <v>35</v>
      </c>
      <c r="AD11" s="137">
        <f>T11-HLOOKUP(V11,Minimas!$C$3:$CD$12,4,FALSE)</f>
        <v>15</v>
      </c>
      <c r="AE11" s="137">
        <f>T11-HLOOKUP(V11,Minimas!$C$3:$CD$12,5,FALSE)</f>
        <v>-5</v>
      </c>
      <c r="AF11" s="137">
        <f>T11-HLOOKUP(V11,Minimas!$C$3:$CD$12,6,FALSE)</f>
        <v>-25</v>
      </c>
      <c r="AG11" s="137">
        <f>T11-HLOOKUP(V11,Minimas!$C$3:$CD$12,7,FALSE)</f>
        <v>-55</v>
      </c>
      <c r="AH11" s="137">
        <f>T11-HLOOKUP(V11,Minimas!$C$3:$CD$12,8,FALSE)</f>
        <v>-75</v>
      </c>
      <c r="AI11" s="137">
        <f>T11-HLOOKUP(V11,Minimas!$C$3:$CD$12,9,FALSE)</f>
        <v>-100</v>
      </c>
      <c r="AJ11" s="137">
        <f>T11-HLOOKUP(V11,Minimas!$C$3:$CD$12,10,FALSE)</f>
        <v>-140</v>
      </c>
      <c r="AK11" s="138" t="str">
        <f t="shared" si="5"/>
        <v>REG +</v>
      </c>
      <c r="AL11" s="138"/>
      <c r="AM11" s="138" t="str">
        <f t="shared" si="6"/>
        <v>REG +</v>
      </c>
      <c r="AN11" s="138">
        <f t="shared" si="7"/>
        <v>15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</row>
    <row r="12" spans="1:107" s="5" customFormat="1" ht="25.5" customHeight="1" x14ac:dyDescent="0.15">
      <c r="B12" s="83" t="s">
        <v>139</v>
      </c>
      <c r="C12" s="87">
        <v>130685</v>
      </c>
      <c r="D12" s="162">
        <v>1</v>
      </c>
      <c r="E12" s="92" t="s">
        <v>152</v>
      </c>
      <c r="F12" s="141" t="s">
        <v>156</v>
      </c>
      <c r="G12" s="142" t="s">
        <v>157</v>
      </c>
      <c r="H12" s="95">
        <v>1991</v>
      </c>
      <c r="I12" s="99" t="s">
        <v>137</v>
      </c>
      <c r="J12" s="100"/>
      <c r="K12" s="154">
        <v>67</v>
      </c>
      <c r="L12" s="159">
        <v>100</v>
      </c>
      <c r="M12" s="158">
        <v>105</v>
      </c>
      <c r="N12" s="156">
        <v>-108</v>
      </c>
      <c r="O12" s="129">
        <f t="shared" si="0"/>
        <v>105</v>
      </c>
      <c r="P12" s="159">
        <v>120</v>
      </c>
      <c r="Q12" s="158">
        <v>125</v>
      </c>
      <c r="R12" s="156">
        <v>-130</v>
      </c>
      <c r="S12" s="129">
        <f t="shared" si="1"/>
        <v>125</v>
      </c>
      <c r="T12" s="130">
        <f t="shared" si="2"/>
        <v>230</v>
      </c>
      <c r="U12" s="131" t="str">
        <f t="shared" si="3"/>
        <v>FED + 5</v>
      </c>
      <c r="V12" s="132" t="str">
        <f>IF(E12=0," ",IF(E12="H",IF(H12&lt;2000,VLOOKUP(K12,Minimas!$A$15:$F$29,6),IF(AND(H12&gt;1999,H12&lt;2003),VLOOKUP(K12,Minimas!$A$15:$F$29,5),IF(AND(H12&gt;2002,H12&lt;2005),VLOOKUP(K12,Minimas!$A$15:$F$29,4),IF(AND(H12&gt;2004,H12&lt;2007),VLOOKUP(K12,Minimas!$A$15:$F$29,3),VLOOKUP(K12,Minimas!$A$15:$F$29,2))))),IF(H12&lt;2000,VLOOKUP(K12,Minimas!$G$15:$L$29,6),IF(AND(H12&gt;1999,H12&lt;2003),VLOOKUP(K12,Minimas!$G$15:$FL$29,5),IF(AND(H12&gt;2002,H12&lt;2005),VLOOKUP(K12,Minimas!$G$15:$L$29,4),IF(AND(H12&gt;2004,H12&lt;2007),VLOOKUP(K12,Minimas!$G$15:$L$29,3),VLOOKUP(K12,Minimas!$G$15:$L$29,2)))))))</f>
        <v>SE M67</v>
      </c>
      <c r="W12" s="133">
        <f t="shared" si="4"/>
        <v>311.35105634674289</v>
      </c>
      <c r="X12" s="44"/>
      <c r="Y12" s="44"/>
      <c r="AB12" s="137">
        <f>T12-HLOOKUP(V12,Minimas!$C$3:$CD$12,2,FALSE)</f>
        <v>105</v>
      </c>
      <c r="AC12" s="137">
        <f>T12-HLOOKUP(V12,Minimas!$C$3:$CD$12,3,FALSE)</f>
        <v>85</v>
      </c>
      <c r="AD12" s="137">
        <f>T12-HLOOKUP(V12,Minimas!$C$3:$CD$12,4,FALSE)</f>
        <v>60</v>
      </c>
      <c r="AE12" s="137">
        <f>T12-HLOOKUP(V12,Minimas!$C$3:$CD$12,5,FALSE)</f>
        <v>35</v>
      </c>
      <c r="AF12" s="137">
        <f>T12-HLOOKUP(V12,Minimas!$C$3:$CD$12,6,FALSE)</f>
        <v>5</v>
      </c>
      <c r="AG12" s="137">
        <f>T12-HLOOKUP(V12,Minimas!$C$3:$CD$12,7,FALSE)</f>
        <v>-10</v>
      </c>
      <c r="AH12" s="137">
        <f>T12-HLOOKUP(V12,Minimas!$C$3:$CD$12,8,FALSE)</f>
        <v>-30</v>
      </c>
      <c r="AI12" s="137">
        <f>T12-HLOOKUP(V12,Minimas!$C$3:$CD$12,9,FALSE)</f>
        <v>-50</v>
      </c>
      <c r="AJ12" s="137">
        <f>T12-HLOOKUP(V12,Minimas!$C$3:$CD$12,10,FALSE)</f>
        <v>-65</v>
      </c>
      <c r="AK12" s="138" t="str">
        <f t="shared" si="5"/>
        <v>FED +</v>
      </c>
      <c r="AL12" s="138"/>
      <c r="AM12" s="138" t="str">
        <f t="shared" si="6"/>
        <v>FED +</v>
      </c>
      <c r="AN12" s="138">
        <f t="shared" si="7"/>
        <v>5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</row>
    <row r="13" spans="1:107" s="5" customFormat="1" ht="25.5" customHeight="1" x14ac:dyDescent="0.15">
      <c r="B13" s="83" t="s">
        <v>139</v>
      </c>
      <c r="C13" s="87">
        <v>453273</v>
      </c>
      <c r="D13" s="88">
        <v>1</v>
      </c>
      <c r="E13" s="92" t="s">
        <v>152</v>
      </c>
      <c r="F13" s="141" t="s">
        <v>158</v>
      </c>
      <c r="G13" s="142" t="s">
        <v>159</v>
      </c>
      <c r="H13" s="95">
        <v>1993</v>
      </c>
      <c r="I13" s="99" t="s">
        <v>138</v>
      </c>
      <c r="J13" s="100"/>
      <c r="K13" s="154">
        <v>69.900000000000006</v>
      </c>
      <c r="L13" s="159">
        <v>82</v>
      </c>
      <c r="M13" s="158">
        <v>86</v>
      </c>
      <c r="N13" s="156">
        <v>-90</v>
      </c>
      <c r="O13" s="129">
        <f t="shared" si="0"/>
        <v>86</v>
      </c>
      <c r="P13" s="159">
        <v>112</v>
      </c>
      <c r="Q13" s="158">
        <v>116</v>
      </c>
      <c r="R13" s="156">
        <v>-120</v>
      </c>
      <c r="S13" s="129">
        <f t="shared" si="1"/>
        <v>116</v>
      </c>
      <c r="T13" s="130">
        <f t="shared" si="2"/>
        <v>202</v>
      </c>
      <c r="U13" s="131" t="str">
        <f t="shared" si="3"/>
        <v>REG + 17</v>
      </c>
      <c r="V13" s="132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FL$29,5),IF(AND(H13&gt;2002,H13&lt;2005),VLOOKUP(K13,Minimas!$G$15:$L$29,4),IF(AND(H13&gt;2004,H13&lt;2007),VLOOKUP(K13,Minimas!$G$15:$L$29,3),VLOOKUP(K13,Minimas!$G$15:$L$29,2)))))))</f>
        <v>SE M73</v>
      </c>
      <c r="W13" s="133">
        <f t="shared" si="4"/>
        <v>266.41223324306276</v>
      </c>
      <c r="X13" s="44"/>
      <c r="Y13" s="44"/>
      <c r="AB13" s="137">
        <f>T13-HLOOKUP(V13,Minimas!$C$3:$CD$12,2,FALSE)</f>
        <v>67</v>
      </c>
      <c r="AC13" s="137">
        <f>T13-HLOOKUP(V13,Minimas!$C$3:$CD$12,3,FALSE)</f>
        <v>42</v>
      </c>
      <c r="AD13" s="137">
        <f>T13-HLOOKUP(V13,Minimas!$C$3:$CD$12,4,FALSE)</f>
        <v>17</v>
      </c>
      <c r="AE13" s="137">
        <f>T13-HLOOKUP(V13,Minimas!$C$3:$CD$12,5,FALSE)</f>
        <v>-8</v>
      </c>
      <c r="AF13" s="137">
        <f>T13-HLOOKUP(V13,Minimas!$C$3:$CD$12,6,FALSE)</f>
        <v>-38</v>
      </c>
      <c r="AG13" s="137">
        <f>T13-HLOOKUP(V13,Minimas!$C$3:$CD$12,7,FALSE)</f>
        <v>-58</v>
      </c>
      <c r="AH13" s="137">
        <f>T13-HLOOKUP(V13,Minimas!$C$3:$CD$12,8,FALSE)</f>
        <v>-78</v>
      </c>
      <c r="AI13" s="137">
        <f>T13-HLOOKUP(V13,Minimas!$C$3:$CD$12,9,FALSE)</f>
        <v>-98</v>
      </c>
      <c r="AJ13" s="137">
        <f>T13-HLOOKUP(V13,Minimas!$C$3:$CD$12,10,FALSE)</f>
        <v>-113</v>
      </c>
      <c r="AK13" s="138" t="str">
        <f t="shared" si="5"/>
        <v>REG +</v>
      </c>
      <c r="AL13" s="138"/>
      <c r="AM13" s="138" t="str">
        <f t="shared" si="6"/>
        <v>REG +</v>
      </c>
      <c r="AN13" s="138">
        <f t="shared" si="7"/>
        <v>17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</row>
    <row r="14" spans="1:107" s="5" customFormat="1" ht="25.5" customHeight="1" x14ac:dyDescent="0.15">
      <c r="B14" s="83" t="s">
        <v>139</v>
      </c>
      <c r="C14" s="87">
        <v>449968</v>
      </c>
      <c r="D14" s="163">
        <v>3</v>
      </c>
      <c r="E14" s="92" t="s">
        <v>152</v>
      </c>
      <c r="F14" s="141" t="s">
        <v>163</v>
      </c>
      <c r="G14" s="142" t="s">
        <v>164</v>
      </c>
      <c r="H14" s="95">
        <v>1992</v>
      </c>
      <c r="I14" s="99" t="s">
        <v>146</v>
      </c>
      <c r="J14" s="100" t="s">
        <v>40</v>
      </c>
      <c r="K14" s="154">
        <v>70.8</v>
      </c>
      <c r="L14" s="159">
        <v>75</v>
      </c>
      <c r="M14" s="158">
        <v>80</v>
      </c>
      <c r="N14" s="156">
        <v>-85</v>
      </c>
      <c r="O14" s="129">
        <f t="shared" si="0"/>
        <v>80</v>
      </c>
      <c r="P14" s="159">
        <v>100</v>
      </c>
      <c r="Q14" s="158">
        <v>-105</v>
      </c>
      <c r="R14" s="156">
        <v>-105</v>
      </c>
      <c r="S14" s="129">
        <f t="shared" si="1"/>
        <v>100</v>
      </c>
      <c r="T14" s="130">
        <f t="shared" si="2"/>
        <v>180</v>
      </c>
      <c r="U14" s="131" t="str">
        <f t="shared" si="3"/>
        <v>DPT + 20</v>
      </c>
      <c r="V14" s="132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FL$29,5),IF(AND(H14&gt;2002,H14&lt;2005),VLOOKUP(K14,Minimas!$G$15:$L$29,4),IF(AND(H14&gt;2004,H14&lt;2007),VLOOKUP(K14,Minimas!$G$15:$L$29,3),VLOOKUP(K14,Minimas!$G$15:$L$29,2)))))))</f>
        <v>SE M73</v>
      </c>
      <c r="W14" s="133">
        <f t="shared" si="4"/>
        <v>235.59047237323415</v>
      </c>
      <c r="X14" s="44"/>
      <c r="Y14" s="44"/>
      <c r="AB14" s="137">
        <f>T14-HLOOKUP(V14,Minimas!$C$3:$CD$12,2,FALSE)</f>
        <v>45</v>
      </c>
      <c r="AC14" s="137">
        <f>T14-HLOOKUP(V14,Minimas!$C$3:$CD$12,3,FALSE)</f>
        <v>20</v>
      </c>
      <c r="AD14" s="137">
        <f>T14-HLOOKUP(V14,Minimas!$C$3:$CD$12,4,FALSE)</f>
        <v>-5</v>
      </c>
      <c r="AE14" s="137">
        <f>T14-HLOOKUP(V14,Minimas!$C$3:$CD$12,5,FALSE)</f>
        <v>-30</v>
      </c>
      <c r="AF14" s="137">
        <f>T14-HLOOKUP(V14,Minimas!$C$3:$CD$12,6,FALSE)</f>
        <v>-60</v>
      </c>
      <c r="AG14" s="137">
        <f>T14-HLOOKUP(V14,Minimas!$C$3:$CD$12,7,FALSE)</f>
        <v>-80</v>
      </c>
      <c r="AH14" s="137">
        <f>T14-HLOOKUP(V14,Minimas!$C$3:$CD$12,8,FALSE)</f>
        <v>-100</v>
      </c>
      <c r="AI14" s="137">
        <f>T14-HLOOKUP(V14,Minimas!$C$3:$CD$12,9,FALSE)</f>
        <v>-120</v>
      </c>
      <c r="AJ14" s="137">
        <f>T14-HLOOKUP(V14,Minimas!$C$3:$CD$12,10,FALSE)</f>
        <v>-135</v>
      </c>
      <c r="AK14" s="138" t="str">
        <f t="shared" si="5"/>
        <v>DPT +</v>
      </c>
      <c r="AL14" s="138"/>
      <c r="AM14" s="138" t="str">
        <f t="shared" si="6"/>
        <v>DPT +</v>
      </c>
      <c r="AN14" s="138">
        <f t="shared" si="7"/>
        <v>20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</row>
    <row r="15" spans="1:107" s="5" customFormat="1" ht="25.5" customHeight="1" x14ac:dyDescent="0.15">
      <c r="B15" s="83" t="s">
        <v>139</v>
      </c>
      <c r="C15" s="87">
        <v>405397</v>
      </c>
      <c r="D15" s="163" t="s">
        <v>194</v>
      </c>
      <c r="E15" s="92" t="s">
        <v>152</v>
      </c>
      <c r="F15" s="141" t="s">
        <v>182</v>
      </c>
      <c r="G15" s="142" t="s">
        <v>183</v>
      </c>
      <c r="H15" s="95">
        <v>1992</v>
      </c>
      <c r="I15" s="99" t="s">
        <v>145</v>
      </c>
      <c r="J15" s="100"/>
      <c r="K15" s="80">
        <v>71.7</v>
      </c>
      <c r="L15" s="159">
        <v>105</v>
      </c>
      <c r="M15" s="158">
        <v>110</v>
      </c>
      <c r="N15" s="158">
        <v>113</v>
      </c>
      <c r="O15" s="129">
        <f t="shared" si="0"/>
        <v>113</v>
      </c>
      <c r="P15" s="127">
        <v>-130</v>
      </c>
      <c r="Q15" s="128">
        <v>-130</v>
      </c>
      <c r="R15" s="128">
        <v>-130</v>
      </c>
      <c r="S15" s="129">
        <f t="shared" si="1"/>
        <v>0</v>
      </c>
      <c r="T15" s="130">
        <f t="shared" si="2"/>
        <v>0</v>
      </c>
      <c r="U15" s="131" t="str">
        <f t="shared" si="3"/>
        <v>DEB -135</v>
      </c>
      <c r="V15" s="132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FL$29,5),IF(AND(H15&gt;2002,H15&lt;2005),VLOOKUP(K15,Minimas!$G$15:$L$29,4),IF(AND(H15&gt;2004,H15&lt;2007),VLOOKUP(K15,Minimas!$G$15:$L$29,3),VLOOKUP(K15,Minimas!$G$15:$L$29,2)))))))</f>
        <v>SE M73</v>
      </c>
      <c r="W15" s="133">
        <f t="shared" si="4"/>
        <v>0</v>
      </c>
      <c r="X15" s="44"/>
      <c r="Y15" s="44"/>
      <c r="AB15" s="137">
        <f>T15-HLOOKUP(V15,Minimas!$C$3:$CD$12,2,FALSE)</f>
        <v>-135</v>
      </c>
      <c r="AC15" s="137">
        <f>T15-HLOOKUP(V15,Minimas!$C$3:$CD$12,3,FALSE)</f>
        <v>-160</v>
      </c>
      <c r="AD15" s="137">
        <f>T15-HLOOKUP(V15,Minimas!$C$3:$CD$12,4,FALSE)</f>
        <v>-185</v>
      </c>
      <c r="AE15" s="137">
        <f>T15-HLOOKUP(V15,Minimas!$C$3:$CD$12,5,FALSE)</f>
        <v>-210</v>
      </c>
      <c r="AF15" s="137">
        <f>T15-HLOOKUP(V15,Minimas!$C$3:$CD$12,6,FALSE)</f>
        <v>-240</v>
      </c>
      <c r="AG15" s="137">
        <f>T15-HLOOKUP(V15,Minimas!$C$3:$CD$12,7,FALSE)</f>
        <v>-260</v>
      </c>
      <c r="AH15" s="137">
        <f>T15-HLOOKUP(V15,Minimas!$C$3:$CD$12,8,FALSE)</f>
        <v>-280</v>
      </c>
      <c r="AI15" s="137">
        <f>T15-HLOOKUP(V15,Minimas!$C$3:$CD$12,9,FALSE)</f>
        <v>-300</v>
      </c>
      <c r="AJ15" s="137">
        <f>T15-HLOOKUP(V15,Minimas!$C$3:$CD$12,10,FALSE)</f>
        <v>-315</v>
      </c>
      <c r="AK15" s="138" t="str">
        <f t="shared" si="5"/>
        <v>DEB</v>
      </c>
      <c r="AL15" s="138"/>
      <c r="AM15" s="138" t="str">
        <f t="shared" si="6"/>
        <v>DEB</v>
      </c>
      <c r="AN15" s="138">
        <f t="shared" si="7"/>
        <v>-135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</row>
    <row r="16" spans="1:107" s="5" customFormat="1" ht="25.5" customHeight="1" x14ac:dyDescent="0.15">
      <c r="B16" s="83" t="s">
        <v>139</v>
      </c>
      <c r="C16" s="87">
        <v>410981</v>
      </c>
      <c r="D16" s="163">
        <v>2</v>
      </c>
      <c r="E16" s="92" t="s">
        <v>152</v>
      </c>
      <c r="F16" s="141" t="s">
        <v>160</v>
      </c>
      <c r="G16" s="142" t="s">
        <v>161</v>
      </c>
      <c r="H16" s="95">
        <v>1996</v>
      </c>
      <c r="I16" s="99" t="s">
        <v>162</v>
      </c>
      <c r="J16" s="100" t="s">
        <v>40</v>
      </c>
      <c r="K16" s="154">
        <v>72.5</v>
      </c>
      <c r="L16" s="159">
        <v>85</v>
      </c>
      <c r="M16" s="156">
        <v>-93</v>
      </c>
      <c r="N16" s="158">
        <v>93</v>
      </c>
      <c r="O16" s="129">
        <f t="shared" si="0"/>
        <v>93</v>
      </c>
      <c r="P16" s="159">
        <v>100</v>
      </c>
      <c r="Q16" s="158">
        <v>108</v>
      </c>
      <c r="R16" s="156">
        <v>-115</v>
      </c>
      <c r="S16" s="129">
        <f t="shared" si="1"/>
        <v>108</v>
      </c>
      <c r="T16" s="130">
        <f t="shared" si="2"/>
        <v>201</v>
      </c>
      <c r="U16" s="131" t="str">
        <f t="shared" si="3"/>
        <v>REG + 16</v>
      </c>
      <c r="V16" s="132" t="str">
        <f>IF(E16=0," ",IF(E16="H",IF(H16&lt;2000,VLOOKUP(K16,Minimas!$A$15:$F$29,6),IF(AND(H16&gt;1999,H16&lt;2003),VLOOKUP(K16,Minimas!$A$15:$F$29,5),IF(AND(H16&gt;2002,H16&lt;2005),VLOOKUP(K16,Minimas!$A$15:$F$29,4),IF(AND(H16&gt;2004,H16&lt;2007),VLOOKUP(K16,Minimas!$A$15:$F$29,3),VLOOKUP(K16,Minimas!$A$15:$F$29,2))))),IF(H16&lt;2000,VLOOKUP(K16,Minimas!$G$15:$L$29,6),IF(AND(H16&gt;1999,H16&lt;2003),VLOOKUP(K16,Minimas!$G$15:$FL$29,5),IF(AND(H16&gt;2002,H16&lt;2005),VLOOKUP(K16,Minimas!$G$15:$L$29,4),IF(AND(H16&gt;2004,H16&lt;2007),VLOOKUP(K16,Minimas!$G$15:$L$29,3),VLOOKUP(K16,Minimas!$G$15:$L$29,2)))))))</f>
        <v>SE M73</v>
      </c>
      <c r="W16" s="133">
        <f t="shared" si="4"/>
        <v>259.44848329613598</v>
      </c>
      <c r="X16" s="44"/>
      <c r="Y16" s="44"/>
      <c r="AB16" s="137">
        <f>T16-HLOOKUP(V16,Minimas!$C$3:$CD$12,2,FALSE)</f>
        <v>66</v>
      </c>
      <c r="AC16" s="137">
        <f>T16-HLOOKUP(V16,Minimas!$C$3:$CD$12,3,FALSE)</f>
        <v>41</v>
      </c>
      <c r="AD16" s="137">
        <f>T16-HLOOKUP(V16,Minimas!$C$3:$CD$12,4,FALSE)</f>
        <v>16</v>
      </c>
      <c r="AE16" s="137">
        <f>T16-HLOOKUP(V16,Minimas!$C$3:$CD$12,5,FALSE)</f>
        <v>-9</v>
      </c>
      <c r="AF16" s="137">
        <f>T16-HLOOKUP(V16,Minimas!$C$3:$CD$12,6,FALSE)</f>
        <v>-39</v>
      </c>
      <c r="AG16" s="137">
        <f>T16-HLOOKUP(V16,Minimas!$C$3:$CD$12,7,FALSE)</f>
        <v>-59</v>
      </c>
      <c r="AH16" s="137">
        <f>T16-HLOOKUP(V16,Minimas!$C$3:$CD$12,8,FALSE)</f>
        <v>-79</v>
      </c>
      <c r="AI16" s="137">
        <f>T16-HLOOKUP(V16,Minimas!$C$3:$CD$12,9,FALSE)</f>
        <v>-99</v>
      </c>
      <c r="AJ16" s="137">
        <f>T16-HLOOKUP(V16,Minimas!$C$3:$CD$12,10,FALSE)</f>
        <v>-114</v>
      </c>
      <c r="AK16" s="138" t="str">
        <f t="shared" si="5"/>
        <v>REG +</v>
      </c>
      <c r="AL16" s="138"/>
      <c r="AM16" s="138" t="str">
        <f t="shared" si="6"/>
        <v>REG +</v>
      </c>
      <c r="AN16" s="138">
        <f t="shared" si="7"/>
        <v>16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</row>
    <row r="17" spans="1:124" s="5" customFormat="1" ht="24.75" customHeight="1" x14ac:dyDescent="0.15">
      <c r="B17" s="83" t="s">
        <v>139</v>
      </c>
      <c r="C17" s="87">
        <v>453475</v>
      </c>
      <c r="D17" s="162">
        <v>1</v>
      </c>
      <c r="E17" s="92" t="s">
        <v>152</v>
      </c>
      <c r="F17" s="141" t="s">
        <v>165</v>
      </c>
      <c r="G17" s="142" t="s">
        <v>166</v>
      </c>
      <c r="H17" s="95">
        <v>1993</v>
      </c>
      <c r="I17" s="99" t="s">
        <v>146</v>
      </c>
      <c r="J17" s="100"/>
      <c r="K17" s="154">
        <v>75.2</v>
      </c>
      <c r="L17" s="159">
        <v>105</v>
      </c>
      <c r="M17" s="156">
        <v>-107</v>
      </c>
      <c r="N17" s="158">
        <v>108</v>
      </c>
      <c r="O17" s="129">
        <f t="shared" si="0"/>
        <v>108</v>
      </c>
      <c r="P17" s="159">
        <v>136</v>
      </c>
      <c r="Q17" s="158">
        <v>142</v>
      </c>
      <c r="R17" s="156">
        <v>-145</v>
      </c>
      <c r="S17" s="129">
        <f t="shared" si="1"/>
        <v>142</v>
      </c>
      <c r="T17" s="130">
        <f t="shared" si="2"/>
        <v>250</v>
      </c>
      <c r="U17" s="131" t="str">
        <f t="shared" si="3"/>
        <v>FED + 0</v>
      </c>
      <c r="V17" s="132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FL$29,5),IF(AND(H17&gt;2002,H17&lt;2005),VLOOKUP(K17,Minimas!$G$15:$L$29,4),IF(AND(H17&gt;2004,H17&lt;2007),VLOOKUP(K17,Minimas!$G$15:$L$29,3),VLOOKUP(K17,Minimas!$G$15:$L$29,2)))))))</f>
        <v>SE M81</v>
      </c>
      <c r="W17" s="133">
        <f t="shared" si="4"/>
        <v>316.09322002674924</v>
      </c>
      <c r="X17" s="44"/>
      <c r="Y17" s="44"/>
      <c r="AB17" s="137">
        <f>T17-HLOOKUP(V17,Minimas!$C$3:$CD$12,2,FALSE)</f>
        <v>105</v>
      </c>
      <c r="AC17" s="137">
        <f>T17-HLOOKUP(V17,Minimas!$C$3:$CD$12,3,FALSE)</f>
        <v>80</v>
      </c>
      <c r="AD17" s="137">
        <f>T17-HLOOKUP(V17,Minimas!$C$3:$CD$12,4,FALSE)</f>
        <v>55</v>
      </c>
      <c r="AE17" s="137">
        <f>T17-HLOOKUP(V17,Minimas!$C$3:$CD$12,5,FALSE)</f>
        <v>30</v>
      </c>
      <c r="AF17" s="137">
        <f>T17-HLOOKUP(V17,Minimas!$C$3:$CD$12,6,FALSE)</f>
        <v>0</v>
      </c>
      <c r="AG17" s="137">
        <f>T17-HLOOKUP(V17,Minimas!$C$3:$CD$12,7,FALSE)</f>
        <v>-25</v>
      </c>
      <c r="AH17" s="137">
        <f>T17-HLOOKUP(V17,Minimas!$C$3:$CD$12,8,FALSE)</f>
        <v>-45</v>
      </c>
      <c r="AI17" s="137">
        <f>T17-HLOOKUP(V17,Minimas!$C$3:$CD$12,9,FALSE)</f>
        <v>-70</v>
      </c>
      <c r="AJ17" s="137">
        <f>T17-HLOOKUP(V17,Minimas!$C$3:$CD$12,10,FALSE)</f>
        <v>-85</v>
      </c>
      <c r="AK17" s="138" t="str">
        <f t="shared" si="5"/>
        <v>FED +</v>
      </c>
      <c r="AL17" s="138"/>
      <c r="AM17" s="138" t="str">
        <f t="shared" si="6"/>
        <v>FED +</v>
      </c>
      <c r="AN17" s="138">
        <f t="shared" si="7"/>
        <v>0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spans="1:124" s="5" customFormat="1" ht="25.5" customHeight="1" x14ac:dyDescent="0.15">
      <c r="B18" s="83" t="s">
        <v>139</v>
      </c>
      <c r="C18" s="87">
        <v>434126</v>
      </c>
      <c r="D18" s="162">
        <v>4</v>
      </c>
      <c r="E18" s="92" t="s">
        <v>152</v>
      </c>
      <c r="F18" s="141" t="s">
        <v>169</v>
      </c>
      <c r="G18" s="142" t="s">
        <v>170</v>
      </c>
      <c r="H18" s="95">
        <v>1994</v>
      </c>
      <c r="I18" s="99" t="s">
        <v>146</v>
      </c>
      <c r="J18" s="100" t="s">
        <v>40</v>
      </c>
      <c r="K18" s="154">
        <v>78.099999999999994</v>
      </c>
      <c r="L18" s="159">
        <v>95</v>
      </c>
      <c r="M18" s="156">
        <v>-100</v>
      </c>
      <c r="N18" s="158">
        <v>100</v>
      </c>
      <c r="O18" s="129">
        <f t="shared" si="0"/>
        <v>100</v>
      </c>
      <c r="P18" s="155">
        <v>-115</v>
      </c>
      <c r="Q18" s="158">
        <v>115</v>
      </c>
      <c r="R18" s="158">
        <v>120</v>
      </c>
      <c r="S18" s="129">
        <f t="shared" si="1"/>
        <v>120</v>
      </c>
      <c r="T18" s="130">
        <f t="shared" si="2"/>
        <v>220</v>
      </c>
      <c r="U18" s="131" t="str">
        <f t="shared" si="3"/>
        <v>IRG + 0</v>
      </c>
      <c r="V18" s="132" t="str">
        <f>IF(E18=0," ",IF(E18="H",IF(H18&lt;2000,VLOOKUP(K18,Minimas!$A$15:$F$29,6),IF(AND(H18&gt;1999,H18&lt;2003),VLOOKUP(K18,Minimas!$A$15:$F$29,5),IF(AND(H18&gt;2002,H18&lt;2005),VLOOKUP(K18,Minimas!$A$15:$F$29,4),IF(AND(H18&gt;2004,H18&lt;2007),VLOOKUP(K18,Minimas!$A$15:$F$29,3),VLOOKUP(K18,Minimas!$A$15:$F$29,2))))),IF(H18&lt;2000,VLOOKUP(K18,Minimas!$G$15:$L$29,6),IF(AND(H18&gt;1999,H18&lt;2003),VLOOKUP(K18,Minimas!$G$15:$FL$29,5),IF(AND(H18&gt;2002,H18&lt;2005),VLOOKUP(K18,Minimas!$G$15:$L$29,4),IF(AND(H18&gt;2004,H18&lt;2007),VLOOKUP(K18,Minimas!$G$15:$L$29,3),VLOOKUP(K18,Minimas!$G$15:$L$29,2)))))))</f>
        <v>SE M81</v>
      </c>
      <c r="W18" s="133">
        <f t="shared" si="4"/>
        <v>272.52372322011911</v>
      </c>
      <c r="X18" s="44"/>
      <c r="Y18" s="44"/>
      <c r="AB18" s="137">
        <f>T18-HLOOKUP(V18,Minimas!$C$3:$CD$12,2,FALSE)</f>
        <v>75</v>
      </c>
      <c r="AC18" s="137">
        <f>T18-HLOOKUP(V18,Minimas!$C$3:$CD$12,3,FALSE)</f>
        <v>50</v>
      </c>
      <c r="AD18" s="137">
        <f>T18-HLOOKUP(V18,Minimas!$C$3:$CD$12,4,FALSE)</f>
        <v>25</v>
      </c>
      <c r="AE18" s="137">
        <f>T18-HLOOKUP(V18,Minimas!$C$3:$CD$12,5,FALSE)</f>
        <v>0</v>
      </c>
      <c r="AF18" s="137">
        <f>T18-HLOOKUP(V18,Minimas!$C$3:$CD$12,6,FALSE)</f>
        <v>-30</v>
      </c>
      <c r="AG18" s="137">
        <f>T18-HLOOKUP(V18,Minimas!$C$3:$CD$12,7,FALSE)</f>
        <v>-55</v>
      </c>
      <c r="AH18" s="137">
        <f>T18-HLOOKUP(V18,Minimas!$C$3:$CD$12,8,FALSE)</f>
        <v>-75</v>
      </c>
      <c r="AI18" s="137">
        <f>T18-HLOOKUP(V18,Minimas!$C$3:$CD$12,9,FALSE)</f>
        <v>-100</v>
      </c>
      <c r="AJ18" s="137">
        <f>T18-HLOOKUP(V18,Minimas!$C$3:$CD$12,10,FALSE)</f>
        <v>-115</v>
      </c>
      <c r="AK18" s="138" t="str">
        <f t="shared" si="5"/>
        <v>IRG +</v>
      </c>
      <c r="AL18" s="138"/>
      <c r="AM18" s="138" t="str">
        <f t="shared" si="6"/>
        <v>IRG +</v>
      </c>
      <c r="AN18" s="138">
        <f t="shared" si="7"/>
        <v>0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124" s="5" customFormat="1" ht="25.5" customHeight="1" x14ac:dyDescent="0.15">
      <c r="B19" s="83" t="s">
        <v>139</v>
      </c>
      <c r="C19" s="87">
        <v>430809</v>
      </c>
      <c r="D19" s="162">
        <v>7</v>
      </c>
      <c r="E19" s="92" t="s">
        <v>152</v>
      </c>
      <c r="F19" s="141" t="s">
        <v>174</v>
      </c>
      <c r="G19" s="142" t="s">
        <v>173</v>
      </c>
      <c r="H19" s="95">
        <v>1989</v>
      </c>
      <c r="I19" s="99" t="s">
        <v>137</v>
      </c>
      <c r="J19" s="100" t="s">
        <v>40</v>
      </c>
      <c r="K19" s="154">
        <v>78.900000000000006</v>
      </c>
      <c r="L19" s="159">
        <v>90</v>
      </c>
      <c r="M19" s="156">
        <v>-95</v>
      </c>
      <c r="N19" s="156">
        <v>-95</v>
      </c>
      <c r="O19" s="129">
        <f t="shared" si="0"/>
        <v>90</v>
      </c>
      <c r="P19" s="159">
        <v>110</v>
      </c>
      <c r="Q19" s="156">
        <v>-114</v>
      </c>
      <c r="R19" s="156">
        <v>-117</v>
      </c>
      <c r="S19" s="129">
        <f t="shared" si="1"/>
        <v>110</v>
      </c>
      <c r="T19" s="130">
        <f t="shared" si="2"/>
        <v>200</v>
      </c>
      <c r="U19" s="131" t="str">
        <f t="shared" si="3"/>
        <v>REG + 5</v>
      </c>
      <c r="V19" s="132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FL$29,5),IF(AND(H19&gt;2002,H19&lt;2005),VLOOKUP(K19,Minimas!$G$15:$L$29,4),IF(AND(H19&gt;2004,H19&lt;2007),VLOOKUP(K19,Minimas!$G$15:$L$29,3),VLOOKUP(K19,Minimas!$G$15:$L$29,2)))))))</f>
        <v>SE M81</v>
      </c>
      <c r="W19" s="133">
        <f t="shared" si="4"/>
        <v>246.42555494893475</v>
      </c>
      <c r="X19" s="44"/>
      <c r="Y19" s="44"/>
      <c r="AB19" s="137">
        <f>T19-HLOOKUP(V19,Minimas!$C$3:$CD$12,2,FALSE)</f>
        <v>55</v>
      </c>
      <c r="AC19" s="137">
        <f>T19-HLOOKUP(V19,Minimas!$C$3:$CD$12,3,FALSE)</f>
        <v>30</v>
      </c>
      <c r="AD19" s="137">
        <f>T19-HLOOKUP(V19,Minimas!$C$3:$CD$12,4,FALSE)</f>
        <v>5</v>
      </c>
      <c r="AE19" s="137">
        <f>T19-HLOOKUP(V19,Minimas!$C$3:$CD$12,5,FALSE)</f>
        <v>-20</v>
      </c>
      <c r="AF19" s="137">
        <f>T19-HLOOKUP(V19,Minimas!$C$3:$CD$12,6,FALSE)</f>
        <v>-50</v>
      </c>
      <c r="AG19" s="137">
        <f>T19-HLOOKUP(V19,Minimas!$C$3:$CD$12,7,FALSE)</f>
        <v>-75</v>
      </c>
      <c r="AH19" s="137">
        <f>T19-HLOOKUP(V19,Minimas!$C$3:$CD$12,8,FALSE)</f>
        <v>-95</v>
      </c>
      <c r="AI19" s="137">
        <f>T19-HLOOKUP(V19,Minimas!$C$3:$CD$12,9,FALSE)</f>
        <v>-120</v>
      </c>
      <c r="AJ19" s="137">
        <f>T19-HLOOKUP(V19,Minimas!$C$3:$CD$12,10,FALSE)</f>
        <v>-135</v>
      </c>
      <c r="AK19" s="138" t="str">
        <f t="shared" si="5"/>
        <v>REG +</v>
      </c>
      <c r="AL19" s="138"/>
      <c r="AM19" s="138" t="str">
        <f t="shared" si="6"/>
        <v>REG +</v>
      </c>
      <c r="AN19" s="138">
        <f t="shared" si="7"/>
        <v>5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</row>
    <row r="20" spans="1:124" s="5" customFormat="1" ht="25.5" customHeight="1" x14ac:dyDescent="0.15">
      <c r="B20" s="83" t="s">
        <v>139</v>
      </c>
      <c r="C20" s="87">
        <v>256692</v>
      </c>
      <c r="D20" s="162">
        <v>2</v>
      </c>
      <c r="E20" s="92" t="s">
        <v>152</v>
      </c>
      <c r="F20" s="141" t="s">
        <v>167</v>
      </c>
      <c r="G20" s="142" t="s">
        <v>168</v>
      </c>
      <c r="H20" s="95">
        <v>1995</v>
      </c>
      <c r="I20" s="99" t="s">
        <v>136</v>
      </c>
      <c r="J20" s="100"/>
      <c r="K20" s="154">
        <v>79.3</v>
      </c>
      <c r="L20" s="155">
        <v>-97</v>
      </c>
      <c r="M20" s="158">
        <v>97</v>
      </c>
      <c r="N20" s="158">
        <v>100</v>
      </c>
      <c r="O20" s="129">
        <f t="shared" si="0"/>
        <v>100</v>
      </c>
      <c r="P20" s="159">
        <v>130</v>
      </c>
      <c r="Q20" s="158">
        <v>137</v>
      </c>
      <c r="R20" s="156">
        <v>-142</v>
      </c>
      <c r="S20" s="129">
        <f t="shared" si="1"/>
        <v>137</v>
      </c>
      <c r="T20" s="130">
        <f t="shared" si="2"/>
        <v>237</v>
      </c>
      <c r="U20" s="131" t="str">
        <f t="shared" si="3"/>
        <v>IRG + 17</v>
      </c>
      <c r="V20" s="132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FL$29,5),IF(AND(H20&gt;2002,H20&lt;2005),VLOOKUP(K20,Minimas!$G$15:$L$29,4),IF(AND(H20&gt;2004,H20&lt;2007),VLOOKUP(K20,Minimas!$G$15:$L$29,3),VLOOKUP(K20,Minimas!$G$15:$L$29,2)))))))</f>
        <v>SE M81</v>
      </c>
      <c r="W20" s="133">
        <f t="shared" si="4"/>
        <v>291.24663459569064</v>
      </c>
      <c r="X20" s="44"/>
      <c r="Y20" s="44"/>
      <c r="AB20" s="137">
        <f>T20-HLOOKUP(V20,Minimas!$C$3:$CD$12,2,FALSE)</f>
        <v>92</v>
      </c>
      <c r="AC20" s="137">
        <f>T20-HLOOKUP(V20,Minimas!$C$3:$CD$12,3,FALSE)</f>
        <v>67</v>
      </c>
      <c r="AD20" s="137">
        <f>T20-HLOOKUP(V20,Minimas!$C$3:$CD$12,4,FALSE)</f>
        <v>42</v>
      </c>
      <c r="AE20" s="137">
        <f>T20-HLOOKUP(V20,Minimas!$C$3:$CD$12,5,FALSE)</f>
        <v>17</v>
      </c>
      <c r="AF20" s="137">
        <f>T20-HLOOKUP(V20,Minimas!$C$3:$CD$12,6,FALSE)</f>
        <v>-13</v>
      </c>
      <c r="AG20" s="137">
        <f>T20-HLOOKUP(V20,Minimas!$C$3:$CD$12,7,FALSE)</f>
        <v>-38</v>
      </c>
      <c r="AH20" s="137">
        <f>T20-HLOOKUP(V20,Minimas!$C$3:$CD$12,8,FALSE)</f>
        <v>-58</v>
      </c>
      <c r="AI20" s="137">
        <f>T20-HLOOKUP(V20,Minimas!$C$3:$CD$12,9,FALSE)</f>
        <v>-83</v>
      </c>
      <c r="AJ20" s="137">
        <f>T20-HLOOKUP(V20,Minimas!$C$3:$CD$12,10,FALSE)</f>
        <v>-98</v>
      </c>
      <c r="AK20" s="138" t="str">
        <f t="shared" si="5"/>
        <v>IRG +</v>
      </c>
      <c r="AL20" s="138"/>
      <c r="AM20" s="138" t="str">
        <f t="shared" si="6"/>
        <v>IRG +</v>
      </c>
      <c r="AN20" s="138">
        <f t="shared" si="7"/>
        <v>17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</row>
    <row r="21" spans="1:124" s="5" customFormat="1" ht="25.5" customHeight="1" x14ac:dyDescent="0.15">
      <c r="B21" s="83" t="s">
        <v>139</v>
      </c>
      <c r="C21" s="87">
        <v>377631</v>
      </c>
      <c r="D21" s="162">
        <v>3</v>
      </c>
      <c r="E21" s="92" t="s">
        <v>152</v>
      </c>
      <c r="F21" s="141" t="s">
        <v>171</v>
      </c>
      <c r="G21" s="142" t="s">
        <v>172</v>
      </c>
      <c r="H21" s="95">
        <v>1998</v>
      </c>
      <c r="I21" s="99" t="s">
        <v>143</v>
      </c>
      <c r="J21" s="100" t="s">
        <v>40</v>
      </c>
      <c r="K21" s="154">
        <v>79.3</v>
      </c>
      <c r="L21" s="155">
        <v>-98</v>
      </c>
      <c r="M21" s="158">
        <v>98</v>
      </c>
      <c r="N21" s="158">
        <v>103</v>
      </c>
      <c r="O21" s="129">
        <f t="shared" si="0"/>
        <v>103</v>
      </c>
      <c r="P21" s="159">
        <v>118</v>
      </c>
      <c r="Q21" s="158">
        <v>123</v>
      </c>
      <c r="R21" s="156">
        <v>-127</v>
      </c>
      <c r="S21" s="129">
        <f t="shared" si="1"/>
        <v>123</v>
      </c>
      <c r="T21" s="130">
        <f t="shared" si="2"/>
        <v>226</v>
      </c>
      <c r="U21" s="131" t="str">
        <f t="shared" si="3"/>
        <v>IRG + 6</v>
      </c>
      <c r="V21" s="132" t="str">
        <f>IF(E21=0," ",IF(E21="H",IF(H21&lt;2000,VLOOKUP(K21,Minimas!$A$15:$F$29,6),IF(AND(H21&gt;1999,H21&lt;2003),VLOOKUP(K21,Minimas!$A$15:$F$29,5),IF(AND(H21&gt;2002,H21&lt;2005),VLOOKUP(K21,Minimas!$A$15:$F$29,4),IF(AND(H21&gt;2004,H21&lt;2007),VLOOKUP(K21,Minimas!$A$15:$F$29,3),VLOOKUP(K21,Minimas!$A$15:$F$29,2))))),IF(H21&lt;2000,VLOOKUP(K21,Minimas!$G$15:$L$29,6),IF(AND(H21&gt;1999,H21&lt;2003),VLOOKUP(K21,Minimas!$G$15:$FL$29,5),IF(AND(H21&gt;2002,H21&lt;2005),VLOOKUP(K21,Minimas!$G$15:$L$29,4),IF(AND(H21&gt;2004,H21&lt;2007),VLOOKUP(K21,Minimas!$G$15:$L$29,3),VLOOKUP(K21,Minimas!$G$15:$L$29,2)))))))</f>
        <v>SE M81</v>
      </c>
      <c r="W21" s="133">
        <f t="shared" si="4"/>
        <v>277.72885830643918</v>
      </c>
      <c r="X21" s="44"/>
      <c r="Y21" s="44"/>
      <c r="AB21" s="137">
        <f>T21-HLOOKUP(V21,Minimas!$C$3:$CD$12,2,FALSE)</f>
        <v>81</v>
      </c>
      <c r="AC21" s="137">
        <f>T21-HLOOKUP(V21,Minimas!$C$3:$CD$12,3,FALSE)</f>
        <v>56</v>
      </c>
      <c r="AD21" s="137">
        <f>T21-HLOOKUP(V21,Minimas!$C$3:$CD$12,4,FALSE)</f>
        <v>31</v>
      </c>
      <c r="AE21" s="137">
        <f>T21-HLOOKUP(V21,Minimas!$C$3:$CD$12,5,FALSE)</f>
        <v>6</v>
      </c>
      <c r="AF21" s="137">
        <f>T21-HLOOKUP(V21,Minimas!$C$3:$CD$12,6,FALSE)</f>
        <v>-24</v>
      </c>
      <c r="AG21" s="137">
        <f>T21-HLOOKUP(V21,Minimas!$C$3:$CD$12,7,FALSE)</f>
        <v>-49</v>
      </c>
      <c r="AH21" s="137">
        <f>T21-HLOOKUP(V21,Minimas!$C$3:$CD$12,8,FALSE)</f>
        <v>-69</v>
      </c>
      <c r="AI21" s="137">
        <f>T21-HLOOKUP(V21,Minimas!$C$3:$CD$12,9,FALSE)</f>
        <v>-94</v>
      </c>
      <c r="AJ21" s="137">
        <f>T21-HLOOKUP(V21,Minimas!$C$3:$CD$12,10,FALSE)</f>
        <v>-109</v>
      </c>
      <c r="AK21" s="138" t="str">
        <f t="shared" si="5"/>
        <v>IRG +</v>
      </c>
      <c r="AL21" s="138"/>
      <c r="AM21" s="138" t="str">
        <f t="shared" si="6"/>
        <v>IRG +</v>
      </c>
      <c r="AN21" s="138">
        <f t="shared" si="7"/>
        <v>6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</row>
    <row r="22" spans="1:124" s="5" customFormat="1" ht="25.5" customHeight="1" x14ac:dyDescent="0.15">
      <c r="B22" s="83" t="s">
        <v>139</v>
      </c>
      <c r="C22" s="87">
        <v>433301</v>
      </c>
      <c r="D22" s="162">
        <v>6</v>
      </c>
      <c r="E22" s="92" t="s">
        <v>152</v>
      </c>
      <c r="F22" s="141" t="s">
        <v>188</v>
      </c>
      <c r="G22" s="142" t="s">
        <v>173</v>
      </c>
      <c r="H22" s="95">
        <v>1989</v>
      </c>
      <c r="I22" s="99" t="s">
        <v>145</v>
      </c>
      <c r="J22" s="100" t="s">
        <v>40</v>
      </c>
      <c r="K22" s="154">
        <v>79.599999999999994</v>
      </c>
      <c r="L22" s="155">
        <v>-85</v>
      </c>
      <c r="M22" s="158">
        <v>85</v>
      </c>
      <c r="N22" s="158">
        <v>90</v>
      </c>
      <c r="O22" s="129">
        <f t="shared" si="0"/>
        <v>90</v>
      </c>
      <c r="P22" s="155">
        <v>-120</v>
      </c>
      <c r="Q22" s="158">
        <v>125</v>
      </c>
      <c r="R22" s="156">
        <v>-130</v>
      </c>
      <c r="S22" s="129">
        <f t="shared" si="1"/>
        <v>125</v>
      </c>
      <c r="T22" s="130">
        <f t="shared" si="2"/>
        <v>215</v>
      </c>
      <c r="U22" s="131" t="str">
        <f t="shared" si="3"/>
        <v>REG + 20</v>
      </c>
      <c r="V22" s="132" t="str">
        <f>IF(E22=0," ",IF(E22="H",IF(H22&lt;2000,VLOOKUP(K22,Minimas!$A$15:$F$29,6),IF(AND(H22&gt;1999,H22&lt;2003),VLOOKUP(K22,Minimas!$A$15:$F$29,5),IF(AND(H22&gt;2002,H22&lt;2005),VLOOKUP(K22,Minimas!$A$15:$F$29,4),IF(AND(H22&gt;2004,H22&lt;2007),VLOOKUP(K22,Minimas!$A$15:$F$29,3),VLOOKUP(K22,Minimas!$A$15:$F$29,2))))),IF(H22&lt;2000,VLOOKUP(K22,Minimas!$G$15:$L$29,6),IF(AND(H22&gt;1999,H22&lt;2003),VLOOKUP(K22,Minimas!$G$15:$FL$29,5),IF(AND(H22&gt;2002,H22&lt;2005),VLOOKUP(K22,Minimas!$G$15:$L$29,4),IF(AND(H22&gt;2004,H22&lt;2007),VLOOKUP(K22,Minimas!$G$15:$L$29,3),VLOOKUP(K22,Minimas!$G$15:$L$29,2)))))))</f>
        <v>SE M81</v>
      </c>
      <c r="W22" s="133">
        <f t="shared" si="4"/>
        <v>263.69515738077183</v>
      </c>
      <c r="X22" s="44"/>
      <c r="Y22" s="44"/>
      <c r="AB22" s="137">
        <f>T22-HLOOKUP(V22,Minimas!$C$3:$CD$12,2,FALSE)</f>
        <v>70</v>
      </c>
      <c r="AC22" s="137">
        <f>T22-HLOOKUP(V22,Minimas!$C$3:$CD$12,3,FALSE)</f>
        <v>45</v>
      </c>
      <c r="AD22" s="137">
        <f>T22-HLOOKUP(V22,Minimas!$C$3:$CD$12,4,FALSE)</f>
        <v>20</v>
      </c>
      <c r="AE22" s="137">
        <f>T22-HLOOKUP(V22,Minimas!$C$3:$CD$12,5,FALSE)</f>
        <v>-5</v>
      </c>
      <c r="AF22" s="137">
        <f>T22-HLOOKUP(V22,Minimas!$C$3:$CD$12,6,FALSE)</f>
        <v>-35</v>
      </c>
      <c r="AG22" s="137">
        <f>T22-HLOOKUP(V22,Minimas!$C$3:$CD$12,7,FALSE)</f>
        <v>-60</v>
      </c>
      <c r="AH22" s="137">
        <f>T22-HLOOKUP(V22,Minimas!$C$3:$CD$12,8,FALSE)</f>
        <v>-80</v>
      </c>
      <c r="AI22" s="137">
        <f>T22-HLOOKUP(V22,Minimas!$C$3:$CD$12,9,FALSE)</f>
        <v>-105</v>
      </c>
      <c r="AJ22" s="137">
        <f>T22-HLOOKUP(V22,Minimas!$C$3:$CD$12,10,FALSE)</f>
        <v>-120</v>
      </c>
      <c r="AK22" s="138" t="str">
        <f t="shared" si="5"/>
        <v>REG +</v>
      </c>
      <c r="AL22" s="138"/>
      <c r="AM22" s="138" t="str">
        <f t="shared" si="6"/>
        <v>REG +</v>
      </c>
      <c r="AN22" s="138">
        <f t="shared" si="7"/>
        <v>20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</row>
    <row r="23" spans="1:124" s="5" customFormat="1" ht="25.5" customHeight="1" x14ac:dyDescent="0.15">
      <c r="B23" s="83" t="s">
        <v>139</v>
      </c>
      <c r="C23" s="87">
        <v>457499</v>
      </c>
      <c r="D23" s="162">
        <v>5</v>
      </c>
      <c r="E23" s="92" t="s">
        <v>152</v>
      </c>
      <c r="F23" s="141" t="s">
        <v>177</v>
      </c>
      <c r="G23" s="142" t="s">
        <v>178</v>
      </c>
      <c r="H23" s="95">
        <v>1986</v>
      </c>
      <c r="I23" s="99" t="s">
        <v>162</v>
      </c>
      <c r="J23" s="100" t="s">
        <v>40</v>
      </c>
      <c r="K23" s="80">
        <v>79.400000000000006</v>
      </c>
      <c r="L23" s="127">
        <v>-95</v>
      </c>
      <c r="M23" s="158">
        <v>95</v>
      </c>
      <c r="N23" s="128">
        <v>-100</v>
      </c>
      <c r="O23" s="129">
        <f t="shared" si="0"/>
        <v>95</v>
      </c>
      <c r="P23" s="159">
        <v>115</v>
      </c>
      <c r="Q23" s="128">
        <v>-120</v>
      </c>
      <c r="R23" s="158">
        <v>120</v>
      </c>
      <c r="S23" s="129">
        <f t="shared" si="1"/>
        <v>120</v>
      </c>
      <c r="T23" s="130">
        <f t="shared" si="2"/>
        <v>215</v>
      </c>
      <c r="U23" s="131" t="str">
        <f t="shared" si="3"/>
        <v>REG + 20</v>
      </c>
      <c r="V23" s="132" t="str">
        <f>IF(E23=0," ",IF(E23="H",IF(H23&lt;2000,VLOOKUP(K23,Minimas!$A$15:$F$29,6),IF(AND(H23&gt;1999,H23&lt;2003),VLOOKUP(K23,Minimas!$A$15:$F$29,5),IF(AND(H23&gt;2002,H23&lt;2005),VLOOKUP(K23,Minimas!$A$15:$F$29,4),IF(AND(H23&gt;2004,H23&lt;2007),VLOOKUP(K23,Minimas!$A$15:$F$29,3),VLOOKUP(K23,Minimas!$A$15:$F$29,2))))),IF(H23&lt;2000,VLOOKUP(K23,Minimas!$G$15:$L$29,6),IF(AND(H23&gt;1999,H23&lt;2003),VLOOKUP(K23,Minimas!$G$15:$FL$29,5),IF(AND(H23&gt;2002,H23&lt;2005),VLOOKUP(K23,Minimas!$G$15:$L$29,4),IF(AND(H23&gt;2004,H23&lt;2007),VLOOKUP(K23,Minimas!$G$15:$L$29,3),VLOOKUP(K23,Minimas!$G$15:$L$29,2)))))))</f>
        <v>SE M81</v>
      </c>
      <c r="W23" s="133">
        <f t="shared" si="4"/>
        <v>264.03850508820364</v>
      </c>
      <c r="X23" s="44"/>
      <c r="Y23" s="44"/>
      <c r="AB23" s="137">
        <f>T23-HLOOKUP(V23,Minimas!$C$3:$CD$12,2,FALSE)</f>
        <v>70</v>
      </c>
      <c r="AC23" s="137">
        <f>T23-HLOOKUP(V23,Minimas!$C$3:$CD$12,3,FALSE)</f>
        <v>45</v>
      </c>
      <c r="AD23" s="137">
        <f>T23-HLOOKUP(V23,Minimas!$C$3:$CD$12,4,FALSE)</f>
        <v>20</v>
      </c>
      <c r="AE23" s="137">
        <f>T23-HLOOKUP(V23,Minimas!$C$3:$CD$12,5,FALSE)</f>
        <v>-5</v>
      </c>
      <c r="AF23" s="137">
        <f>T23-HLOOKUP(V23,Minimas!$C$3:$CD$12,6,FALSE)</f>
        <v>-35</v>
      </c>
      <c r="AG23" s="137">
        <f>T23-HLOOKUP(V23,Minimas!$C$3:$CD$12,7,FALSE)</f>
        <v>-60</v>
      </c>
      <c r="AH23" s="137">
        <f>T23-HLOOKUP(V23,Minimas!$C$3:$CD$12,8,FALSE)</f>
        <v>-80</v>
      </c>
      <c r="AI23" s="137">
        <f>T23-HLOOKUP(V23,Minimas!$C$3:$CD$12,9,FALSE)</f>
        <v>-105</v>
      </c>
      <c r="AJ23" s="137">
        <f>T23-HLOOKUP(V23,Minimas!$C$3:$CD$12,10,FALSE)</f>
        <v>-120</v>
      </c>
      <c r="AK23" s="138" t="str">
        <f t="shared" si="5"/>
        <v>REG +</v>
      </c>
      <c r="AL23" s="138"/>
      <c r="AM23" s="138" t="str">
        <f t="shared" si="6"/>
        <v>REG +</v>
      </c>
      <c r="AN23" s="138">
        <f t="shared" si="7"/>
        <v>20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</row>
    <row r="24" spans="1:124" s="5" customFormat="1" ht="30" customHeight="1" x14ac:dyDescent="0.15">
      <c r="B24" s="83" t="s">
        <v>139</v>
      </c>
      <c r="C24" s="87">
        <v>453829</v>
      </c>
      <c r="D24" s="88">
        <v>1</v>
      </c>
      <c r="E24" s="92" t="s">
        <v>152</v>
      </c>
      <c r="F24" s="141" t="s">
        <v>175</v>
      </c>
      <c r="G24" s="142" t="s">
        <v>181</v>
      </c>
      <c r="H24" s="95">
        <v>1996</v>
      </c>
      <c r="I24" s="99" t="s">
        <v>146</v>
      </c>
      <c r="J24" s="100" t="s">
        <v>40</v>
      </c>
      <c r="K24" s="154">
        <v>82.2</v>
      </c>
      <c r="L24" s="159">
        <v>88</v>
      </c>
      <c r="M24" s="156">
        <v>-92</v>
      </c>
      <c r="N24" s="156">
        <v>-96</v>
      </c>
      <c r="O24" s="129">
        <f t="shared" si="0"/>
        <v>88</v>
      </c>
      <c r="P24" s="159">
        <v>110</v>
      </c>
      <c r="Q24" s="156">
        <v>-115</v>
      </c>
      <c r="R24" s="158">
        <v>120</v>
      </c>
      <c r="S24" s="129">
        <f t="shared" si="1"/>
        <v>120</v>
      </c>
      <c r="T24" s="130">
        <f t="shared" si="2"/>
        <v>208</v>
      </c>
      <c r="U24" s="131" t="str">
        <f t="shared" si="3"/>
        <v>REG + 8</v>
      </c>
      <c r="V24" s="132" t="str">
        <f>IF(E24=0," ",IF(E24="H",IF(H24&lt;2000,VLOOKUP(K24,Minimas!$A$15:$F$29,6),IF(AND(H24&gt;1999,H24&lt;2003),VLOOKUP(K24,Minimas!$A$15:$F$29,5),IF(AND(H24&gt;2002,H24&lt;2005),VLOOKUP(K24,Minimas!$A$15:$F$29,4),IF(AND(H24&gt;2004,H24&lt;2007),VLOOKUP(K24,Minimas!$A$15:$F$29,3),VLOOKUP(K24,Minimas!$A$15:$F$29,2))))),IF(H24&lt;2000,VLOOKUP(K24,Minimas!$G$15:$L$29,6),IF(AND(H24&gt;1999,H24&lt;2003),VLOOKUP(K24,Minimas!$G$15:$FL$29,5),IF(AND(H24&gt;2002,H24&lt;2005),VLOOKUP(K24,Minimas!$G$15:$L$29,4),IF(AND(H24&gt;2004,H24&lt;2007),VLOOKUP(K24,Minimas!$G$15:$L$29,3),VLOOKUP(K24,Minimas!$G$15:$L$29,2)))))))</f>
        <v>SE M89</v>
      </c>
      <c r="W24" s="133">
        <f t="shared" si="4"/>
        <v>250.99500779671865</v>
      </c>
      <c r="X24" s="44"/>
      <c r="Y24" s="44"/>
      <c r="AB24" s="137">
        <f>T24-HLOOKUP(V24,Minimas!$C$3:$CD$12,2,FALSE)</f>
        <v>58</v>
      </c>
      <c r="AC24" s="137">
        <f>T24-HLOOKUP(V24,Minimas!$C$3:$CD$12,3,FALSE)</f>
        <v>33</v>
      </c>
      <c r="AD24" s="137">
        <f>T24-HLOOKUP(V24,Minimas!$C$3:$CD$12,4,FALSE)</f>
        <v>8</v>
      </c>
      <c r="AE24" s="137">
        <f>T24-HLOOKUP(V24,Minimas!$C$3:$CD$12,5,FALSE)</f>
        <v>-22</v>
      </c>
      <c r="AF24" s="137">
        <f>T24-HLOOKUP(V24,Minimas!$C$3:$CD$12,6,FALSE)</f>
        <v>-52</v>
      </c>
      <c r="AG24" s="137">
        <f>T24-HLOOKUP(V24,Minimas!$C$3:$CD$12,7,FALSE)</f>
        <v>-79</v>
      </c>
      <c r="AH24" s="137">
        <f>T24-HLOOKUP(V24,Minimas!$C$3:$CD$12,8,FALSE)</f>
        <v>-102</v>
      </c>
      <c r="AI24" s="137">
        <f>T24-HLOOKUP(V24,Minimas!$C$3:$CD$12,9,FALSE)</f>
        <v>-122</v>
      </c>
      <c r="AJ24" s="137">
        <f>T24-HLOOKUP(V24,Minimas!$C$3:$CD$12,10,FALSE)</f>
        <v>-152</v>
      </c>
      <c r="AK24" s="138" t="str">
        <f t="shared" si="5"/>
        <v>REG +</v>
      </c>
      <c r="AL24" s="138"/>
      <c r="AM24" s="138" t="str">
        <f t="shared" si="6"/>
        <v>REG +</v>
      </c>
      <c r="AN24" s="138">
        <f t="shared" si="7"/>
        <v>8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</row>
    <row r="25" spans="1:124" s="5" customFormat="1" ht="30" customHeight="1" x14ac:dyDescent="0.15">
      <c r="B25" s="83" t="s">
        <v>139</v>
      </c>
      <c r="C25" s="87">
        <v>429563</v>
      </c>
      <c r="D25" s="162">
        <v>1</v>
      </c>
      <c r="E25" s="92" t="s">
        <v>152</v>
      </c>
      <c r="F25" s="141" t="s">
        <v>176</v>
      </c>
      <c r="G25" s="142" t="s">
        <v>159</v>
      </c>
      <c r="H25" s="95">
        <v>1988</v>
      </c>
      <c r="I25" s="99" t="s">
        <v>145</v>
      </c>
      <c r="J25" s="100"/>
      <c r="K25" s="154">
        <v>90.1</v>
      </c>
      <c r="L25" s="159">
        <v>120</v>
      </c>
      <c r="M25" s="158">
        <v>125</v>
      </c>
      <c r="N25" s="158">
        <v>130</v>
      </c>
      <c r="O25" s="129">
        <f t="shared" si="0"/>
        <v>130</v>
      </c>
      <c r="P25" s="159">
        <v>145</v>
      </c>
      <c r="Q25" s="158">
        <v>150</v>
      </c>
      <c r="R25" s="156">
        <v>-155</v>
      </c>
      <c r="S25" s="129">
        <f t="shared" si="1"/>
        <v>150</v>
      </c>
      <c r="T25" s="130">
        <f t="shared" si="2"/>
        <v>280</v>
      </c>
      <c r="U25" s="131" t="str">
        <f t="shared" si="3"/>
        <v>FED + 15</v>
      </c>
      <c r="V25" s="132" t="str">
        <f>IF(E25=0," ",IF(E25="H",IF(H25&lt;2000,VLOOKUP(K25,Minimas!$A$15:$F$29,6),IF(AND(H25&gt;1999,H25&lt;2003),VLOOKUP(K25,Minimas!$A$15:$F$29,5),IF(AND(H25&gt;2002,H25&lt;2005),VLOOKUP(K25,Minimas!$A$15:$F$29,4),IF(AND(H25&gt;2004,H25&lt;2007),VLOOKUP(K25,Minimas!$A$15:$F$29,3),VLOOKUP(K25,Minimas!$A$15:$F$29,2))))),IF(H25&lt;2000,VLOOKUP(K25,Minimas!$G$15:$L$29,6),IF(AND(H25&gt;1999,H25&lt;2003),VLOOKUP(K25,Minimas!$G$15:$FL$29,5),IF(AND(H25&gt;2002,H25&lt;2005),VLOOKUP(K25,Minimas!$G$15:$L$29,4),IF(AND(H25&gt;2004,H25&lt;2007),VLOOKUP(K25,Minimas!$G$15:$L$29,3),VLOOKUP(K25,Minimas!$G$15:$L$29,2)))))))</f>
        <v>SE M96</v>
      </c>
      <c r="W25" s="133">
        <f t="shared" si="4"/>
        <v>323.75026924235948</v>
      </c>
      <c r="X25" s="44"/>
      <c r="Y25" s="44"/>
      <c r="AB25" s="137">
        <f>T25-HLOOKUP(V25,Minimas!$C$3:$CD$12,2,FALSE)</f>
        <v>125</v>
      </c>
      <c r="AC25" s="137">
        <f>T25-HLOOKUP(V25,Minimas!$C$3:$CD$12,3,FALSE)</f>
        <v>100</v>
      </c>
      <c r="AD25" s="137">
        <f>T25-HLOOKUP(V25,Minimas!$C$3:$CD$12,4,FALSE)</f>
        <v>75</v>
      </c>
      <c r="AE25" s="137">
        <f>T25-HLOOKUP(V25,Minimas!$C$3:$CD$12,5,FALSE)</f>
        <v>45</v>
      </c>
      <c r="AF25" s="137">
        <f>T25-HLOOKUP(V25,Minimas!$C$3:$CD$12,6,FALSE)</f>
        <v>15</v>
      </c>
      <c r="AG25" s="137">
        <f>T25-HLOOKUP(V25,Minimas!$C$3:$CD$12,7,FALSE)</f>
        <v>-15</v>
      </c>
      <c r="AH25" s="137">
        <f>T25-HLOOKUP(V25,Minimas!$C$3:$CD$12,8,FALSE)</f>
        <v>-40</v>
      </c>
      <c r="AI25" s="137">
        <f>T25-HLOOKUP(V25,Minimas!$C$3:$CD$12,9,FALSE)</f>
        <v>-60</v>
      </c>
      <c r="AJ25" s="137">
        <f>T25-HLOOKUP(V25,Minimas!$C$3:$CD$12,10,FALSE)</f>
        <v>-80</v>
      </c>
      <c r="AK25" s="138" t="str">
        <f t="shared" si="5"/>
        <v>FED +</v>
      </c>
      <c r="AL25" s="138"/>
      <c r="AM25" s="138" t="str">
        <f t="shared" si="6"/>
        <v>FED +</v>
      </c>
      <c r="AN25" s="138">
        <f t="shared" si="7"/>
        <v>15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</row>
    <row r="26" spans="1:124" s="5" customFormat="1" ht="30" customHeight="1" thickBot="1" x14ac:dyDescent="0.2">
      <c r="B26" s="84" t="s">
        <v>139</v>
      </c>
      <c r="C26" s="89">
        <v>447456</v>
      </c>
      <c r="D26" s="90">
        <v>1</v>
      </c>
      <c r="E26" s="93" t="s">
        <v>152</v>
      </c>
      <c r="F26" s="143" t="s">
        <v>179</v>
      </c>
      <c r="G26" s="144" t="s">
        <v>180</v>
      </c>
      <c r="H26" s="96">
        <v>1987</v>
      </c>
      <c r="I26" s="101" t="s">
        <v>136</v>
      </c>
      <c r="J26" s="102" t="s">
        <v>40</v>
      </c>
      <c r="K26" s="81">
        <v>104.8</v>
      </c>
      <c r="L26" s="160">
        <v>98</v>
      </c>
      <c r="M26" s="161">
        <v>102</v>
      </c>
      <c r="N26" s="161">
        <v>105</v>
      </c>
      <c r="O26" s="129">
        <f t="shared" si="0"/>
        <v>105</v>
      </c>
      <c r="P26" s="159">
        <v>130</v>
      </c>
      <c r="Q26" s="158">
        <v>135</v>
      </c>
      <c r="R26" s="128">
        <v>-140</v>
      </c>
      <c r="S26" s="129">
        <f t="shared" si="1"/>
        <v>135</v>
      </c>
      <c r="T26" s="130">
        <f t="shared" si="2"/>
        <v>240</v>
      </c>
      <c r="U26" s="131" t="str">
        <f t="shared" si="3"/>
        <v>REG + 25</v>
      </c>
      <c r="V26" s="132" t="str">
        <f>IF(E26=0," ",IF(E26="H",IF(H26&lt;2000,VLOOKUP(K26,Minimas!$A$15:$F$29,6),IF(AND(H26&gt;1999,H26&lt;2003),VLOOKUP(K26,Minimas!$A$15:$F$29,5),IF(AND(H26&gt;2002,H26&lt;2005),VLOOKUP(K26,Minimas!$A$15:$F$29,4),IF(AND(H26&gt;2004,H26&lt;2007),VLOOKUP(K26,Minimas!$A$15:$F$29,3),VLOOKUP(K26,Minimas!$A$15:$F$29,2))))),IF(H26&lt;2000,VLOOKUP(K26,Minimas!$G$15:$L$29,6),IF(AND(H26&gt;1999,H26&lt;2003),VLOOKUP(K26,Minimas!$G$15:$FL$29,5),IF(AND(H26&gt;2002,H26&lt;2005),VLOOKUP(K26,Minimas!$G$15:$L$29,4),IF(AND(H26&gt;2004,H26&lt;2007),VLOOKUP(K26,Minimas!$G$15:$L$29,3),VLOOKUP(K26,Minimas!$G$15:$L$29,2)))))))</f>
        <v>SE M109</v>
      </c>
      <c r="W26" s="133">
        <f t="shared" si="4"/>
        <v>261.76956770638503</v>
      </c>
      <c r="X26" s="44"/>
      <c r="Y26" s="44"/>
      <c r="AB26" s="137">
        <f>T26-HLOOKUP(V26,Minimas!$C$3:$CD$12,2,FALSE)</f>
        <v>75</v>
      </c>
      <c r="AC26" s="137">
        <f>T26-HLOOKUP(V26,Minimas!$C$3:$CD$12,3,FALSE)</f>
        <v>50</v>
      </c>
      <c r="AD26" s="137">
        <f>T26-HLOOKUP(V26,Minimas!$C$3:$CD$12,4,FALSE)</f>
        <v>25</v>
      </c>
      <c r="AE26" s="137">
        <f>T26-HLOOKUP(V26,Minimas!$C$3:$CD$12,5,FALSE)</f>
        <v>-5</v>
      </c>
      <c r="AF26" s="137">
        <f>T26-HLOOKUP(V26,Minimas!$C$3:$CD$12,6,FALSE)</f>
        <v>-35</v>
      </c>
      <c r="AG26" s="137">
        <f>T26-HLOOKUP(V26,Minimas!$C$3:$CD$12,7,FALSE)</f>
        <v>-70</v>
      </c>
      <c r="AH26" s="137">
        <f>T26-HLOOKUP(V26,Minimas!$C$3:$CD$12,8,FALSE)</f>
        <v>-95</v>
      </c>
      <c r="AI26" s="137">
        <f>T26-HLOOKUP(V26,Minimas!$C$3:$CD$12,9,FALSE)</f>
        <v>-120</v>
      </c>
      <c r="AJ26" s="137">
        <f>T26-HLOOKUP(V26,Minimas!$C$3:$CD$12,10,FALSE)</f>
        <v>-140</v>
      </c>
      <c r="AK26" s="138" t="str">
        <f t="shared" si="5"/>
        <v>REG +</v>
      </c>
      <c r="AL26" s="138"/>
      <c r="AM26" s="138" t="str">
        <f t="shared" si="6"/>
        <v>REG +</v>
      </c>
      <c r="AN26" s="138">
        <f t="shared" si="7"/>
        <v>25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</row>
    <row r="27" spans="1:124" s="119" customFormat="1" ht="5" customHeight="1" x14ac:dyDescent="0.15">
      <c r="A27" s="103"/>
      <c r="B27" s="104"/>
      <c r="C27" s="105"/>
      <c r="D27" s="106"/>
      <c r="E27" s="106"/>
      <c r="F27" s="107"/>
      <c r="G27" s="108"/>
      <c r="H27" s="109"/>
      <c r="I27" s="110"/>
      <c r="J27" s="111"/>
      <c r="K27" s="112"/>
      <c r="L27" s="113"/>
      <c r="M27" s="113"/>
      <c r="N27" s="113"/>
      <c r="O27" s="114"/>
      <c r="P27" s="113"/>
      <c r="Q27" s="113"/>
      <c r="R27" s="113"/>
      <c r="S27" s="114"/>
      <c r="T27" s="114"/>
      <c r="U27" s="115"/>
      <c r="V27" s="107"/>
      <c r="W27" s="107"/>
      <c r="X27" s="116"/>
      <c r="Y27" s="116"/>
      <c r="Z27" s="116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</row>
    <row r="28" spans="1:124" s="12" customFormat="1" ht="22.5" customHeight="1" x14ac:dyDescent="0.15">
      <c r="A28" s="118"/>
      <c r="B28" s="173" t="s">
        <v>17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5"/>
      <c r="O28" s="120" t="s">
        <v>41</v>
      </c>
      <c r="P28" s="121" t="s">
        <v>18</v>
      </c>
      <c r="Q28" s="182" t="s">
        <v>189</v>
      </c>
      <c r="R28" s="182"/>
      <c r="S28" s="182"/>
      <c r="T28" s="182"/>
      <c r="U28" s="182" t="s">
        <v>43</v>
      </c>
      <c r="V28" s="182"/>
      <c r="W28" s="182"/>
    </row>
    <row r="29" spans="1:124" s="118" customFormat="1" ht="22.5" customHeight="1" x14ac:dyDescent="0.15"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N29" s="12"/>
      <c r="O29" s="122" t="s">
        <v>41</v>
      </c>
      <c r="P29" s="123" t="s">
        <v>19</v>
      </c>
      <c r="Q29" s="172" t="s">
        <v>190</v>
      </c>
      <c r="R29" s="172"/>
      <c r="S29" s="172"/>
      <c r="T29" s="172"/>
      <c r="U29" s="172" t="s">
        <v>43</v>
      </c>
      <c r="V29" s="172"/>
      <c r="W29" s="172"/>
    </row>
    <row r="30" spans="1:124" s="12" customFormat="1" ht="22.5" customHeight="1" x14ac:dyDescent="0.15">
      <c r="A30" s="118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O30" s="122" t="s">
        <v>41</v>
      </c>
      <c r="P30" s="123" t="s">
        <v>20</v>
      </c>
      <c r="Q30" s="172" t="s">
        <v>191</v>
      </c>
      <c r="R30" s="172"/>
      <c r="S30" s="172"/>
      <c r="T30" s="172"/>
      <c r="U30" s="172" t="s">
        <v>43</v>
      </c>
      <c r="V30" s="172"/>
      <c r="W30" s="172"/>
    </row>
    <row r="31" spans="1:124" s="12" customFormat="1" ht="22.5" customHeight="1" x14ac:dyDescent="0.15">
      <c r="A31" s="118"/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O31" s="122" t="s">
        <v>41</v>
      </c>
      <c r="P31" s="123" t="s">
        <v>21</v>
      </c>
      <c r="Q31" s="172" t="s">
        <v>192</v>
      </c>
      <c r="R31" s="172"/>
      <c r="S31" s="172"/>
      <c r="T31" s="172"/>
      <c r="U31" s="172" t="s">
        <v>43</v>
      </c>
      <c r="V31" s="172"/>
      <c r="W31" s="172"/>
    </row>
    <row r="32" spans="1:124" ht="22.5" customHeight="1" x14ac:dyDescent="0.15"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2"/>
      <c r="N32" s="12"/>
      <c r="O32" s="122" t="s">
        <v>41</v>
      </c>
      <c r="P32" s="123" t="s">
        <v>22</v>
      </c>
      <c r="Q32" s="172"/>
      <c r="R32" s="172"/>
      <c r="S32" s="172"/>
      <c r="T32" s="172"/>
      <c r="U32" s="172" t="s">
        <v>43</v>
      </c>
      <c r="V32" s="172"/>
      <c r="W32" s="172"/>
      <c r="AA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1:124" ht="22.5" customHeight="1" x14ac:dyDescent="0.15"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2"/>
      <c r="N33" s="12"/>
      <c r="O33" s="122" t="s">
        <v>41</v>
      </c>
      <c r="P33" s="123" t="s">
        <v>23</v>
      </c>
      <c r="Q33" s="172" t="s">
        <v>140</v>
      </c>
      <c r="R33" s="172"/>
      <c r="S33" s="172"/>
      <c r="T33" s="172"/>
      <c r="U33" s="172" t="s">
        <v>43</v>
      </c>
      <c r="V33" s="172"/>
      <c r="W33" s="172"/>
      <c r="AA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</row>
    <row r="34" spans="1:124" ht="22.5" customHeight="1" x14ac:dyDescent="0.15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1"/>
      <c r="M34" s="12"/>
      <c r="N34" s="12"/>
      <c r="O34" s="124" t="s">
        <v>41</v>
      </c>
      <c r="P34" s="125" t="s">
        <v>24</v>
      </c>
      <c r="Q34" s="183" t="s">
        <v>42</v>
      </c>
      <c r="R34" s="183"/>
      <c r="S34" s="183"/>
      <c r="T34" s="183"/>
      <c r="U34" s="183" t="s">
        <v>43</v>
      </c>
      <c r="V34" s="183"/>
      <c r="W34" s="183"/>
      <c r="AA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</row>
    <row r="35" spans="1:124" s="12" customFormat="1" ht="10.25" customHeight="1" x14ac:dyDescent="0.15">
      <c r="P35" s="118"/>
    </row>
    <row r="36" spans="1:124" x14ac:dyDescent="0.15">
      <c r="A36" s="6"/>
      <c r="O36" s="1"/>
    </row>
    <row r="37" spans="1:124" x14ac:dyDescent="0.15">
      <c r="A37" s="6"/>
    </row>
  </sheetData>
  <sortState xmlns:xlrd2="http://schemas.microsoft.com/office/spreadsheetml/2017/richdata2" ref="A12:DT26">
    <sortCondition ref="K12:K26"/>
  </sortState>
  <mergeCells count="22">
    <mergeCell ref="Q32:T32"/>
    <mergeCell ref="U31:W31"/>
    <mergeCell ref="U32:W32"/>
    <mergeCell ref="B28:L34"/>
    <mergeCell ref="U28:W28"/>
    <mergeCell ref="U29:W29"/>
    <mergeCell ref="U30:W30"/>
    <mergeCell ref="U34:W34"/>
    <mergeCell ref="U33:W33"/>
    <mergeCell ref="Q33:T33"/>
    <mergeCell ref="Q34:T34"/>
    <mergeCell ref="Q28:T28"/>
    <mergeCell ref="Q29:T29"/>
    <mergeCell ref="Q30:T30"/>
    <mergeCell ref="Q31:T31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P7:R26 L7:N26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3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L29" sqref="L29"/>
    </sheetView>
  </sheetViews>
  <sheetFormatPr baseColWidth="10" defaultRowHeight="13" x14ac:dyDescent="0.15"/>
  <cols>
    <col min="3" max="5" width="10.5" bestFit="1" customWidth="1"/>
    <col min="6" max="68" width="9.6640625" customWidth="1"/>
  </cols>
  <sheetData>
    <row r="3" spans="1:82" x14ac:dyDescent="0.15">
      <c r="C3" s="65" t="s">
        <v>84</v>
      </c>
      <c r="D3" s="65" t="s">
        <v>85</v>
      </c>
      <c r="E3" s="65" t="s">
        <v>86</v>
      </c>
      <c r="F3" s="65" t="s">
        <v>96</v>
      </c>
      <c r="G3" s="66" t="s">
        <v>88</v>
      </c>
      <c r="H3" s="66" t="s">
        <v>89</v>
      </c>
      <c r="I3" s="66" t="s">
        <v>90</v>
      </c>
      <c r="J3" s="66" t="s">
        <v>91</v>
      </c>
      <c r="K3" s="66" t="s">
        <v>92</v>
      </c>
      <c r="L3" s="66" t="s">
        <v>93</v>
      </c>
      <c r="M3" s="65" t="s">
        <v>94</v>
      </c>
      <c r="N3" s="65" t="s">
        <v>95</v>
      </c>
      <c r="O3" s="65" t="s">
        <v>103</v>
      </c>
      <c r="P3" s="65" t="s">
        <v>87</v>
      </c>
      <c r="Q3" s="66" t="s">
        <v>97</v>
      </c>
      <c r="R3" s="66" t="s">
        <v>98</v>
      </c>
      <c r="S3" s="66" t="s">
        <v>99</v>
      </c>
      <c r="T3" s="66" t="s">
        <v>100</v>
      </c>
      <c r="U3" s="66" t="s">
        <v>101</v>
      </c>
      <c r="V3" s="66" t="s">
        <v>102</v>
      </c>
      <c r="W3" s="65" t="s">
        <v>104</v>
      </c>
      <c r="X3" s="65" t="s">
        <v>105</v>
      </c>
      <c r="Y3" s="65" t="s">
        <v>106</v>
      </c>
      <c r="Z3" s="66" t="s">
        <v>107</v>
      </c>
      <c r="AA3" s="66" t="s">
        <v>108</v>
      </c>
      <c r="AB3" s="66" t="s">
        <v>109</v>
      </c>
      <c r="AC3" s="66" t="s">
        <v>110</v>
      </c>
      <c r="AD3" s="66" t="s">
        <v>111</v>
      </c>
      <c r="AE3" s="66" t="s">
        <v>112</v>
      </c>
      <c r="AF3" s="66" t="s">
        <v>113</v>
      </c>
      <c r="AG3" s="65" t="s">
        <v>114</v>
      </c>
      <c r="AH3" s="65" t="s">
        <v>115</v>
      </c>
      <c r="AI3" s="65" t="s">
        <v>116</v>
      </c>
      <c r="AJ3" s="66" t="s">
        <v>117</v>
      </c>
      <c r="AK3" s="66" t="s">
        <v>118</v>
      </c>
      <c r="AL3" s="66" t="s">
        <v>119</v>
      </c>
      <c r="AM3" s="66" t="s">
        <v>120</v>
      </c>
      <c r="AN3" s="66" t="s">
        <v>121</v>
      </c>
      <c r="AO3" s="66" t="s">
        <v>122</v>
      </c>
      <c r="AP3" s="66" t="s">
        <v>123</v>
      </c>
      <c r="AQ3" s="49" t="s">
        <v>44</v>
      </c>
      <c r="AR3" s="49" t="s">
        <v>45</v>
      </c>
      <c r="AS3" s="49" t="s">
        <v>46</v>
      </c>
      <c r="AT3" s="49" t="s">
        <v>47</v>
      </c>
      <c r="AU3" s="49" t="s">
        <v>48</v>
      </c>
      <c r="AV3" s="49" t="s">
        <v>49</v>
      </c>
      <c r="AW3" s="49" t="s">
        <v>50</v>
      </c>
      <c r="AX3" s="49" t="s">
        <v>51</v>
      </c>
      <c r="AY3" s="49" t="s">
        <v>52</v>
      </c>
      <c r="AZ3" s="49" t="s">
        <v>53</v>
      </c>
      <c r="BA3" s="49" t="s">
        <v>54</v>
      </c>
      <c r="BB3" s="49" t="s">
        <v>55</v>
      </c>
      <c r="BC3" s="49" t="s">
        <v>56</v>
      </c>
      <c r="BD3" s="49" t="s">
        <v>57</v>
      </c>
      <c r="BE3" s="49" t="s">
        <v>58</v>
      </c>
      <c r="BF3" s="49" t="s">
        <v>59</v>
      </c>
      <c r="BG3" s="49" t="s">
        <v>60</v>
      </c>
      <c r="BH3" s="49" t="s">
        <v>61</v>
      </c>
      <c r="BI3" s="49" t="s">
        <v>62</v>
      </c>
      <c r="BJ3" s="49" t="s">
        <v>63</v>
      </c>
      <c r="BK3" s="49" t="s">
        <v>64</v>
      </c>
      <c r="BL3" s="49" t="s">
        <v>65</v>
      </c>
      <c r="BM3" s="49" t="s">
        <v>66</v>
      </c>
      <c r="BN3" s="49" t="s">
        <v>67</v>
      </c>
      <c r="BO3" s="49" t="s">
        <v>68</v>
      </c>
      <c r="BP3" s="49" t="s">
        <v>69</v>
      </c>
      <c r="BQ3" s="49" t="s">
        <v>70</v>
      </c>
      <c r="BR3" s="49" t="s">
        <v>71</v>
      </c>
      <c r="BS3" s="49" t="s">
        <v>72</v>
      </c>
      <c r="BT3" s="49" t="s">
        <v>73</v>
      </c>
      <c r="BU3" s="49" t="s">
        <v>74</v>
      </c>
      <c r="BV3" s="49" t="s">
        <v>75</v>
      </c>
      <c r="BW3" s="49" t="s">
        <v>76</v>
      </c>
      <c r="BX3" s="49" t="s">
        <v>77</v>
      </c>
      <c r="BY3" s="49" t="s">
        <v>78</v>
      </c>
      <c r="BZ3" s="49" t="s">
        <v>79</v>
      </c>
      <c r="CA3" s="49" t="s">
        <v>80</v>
      </c>
      <c r="CB3" s="49" t="s">
        <v>81</v>
      </c>
      <c r="CC3" s="49" t="s">
        <v>82</v>
      </c>
      <c r="CD3" s="49" t="s">
        <v>83</v>
      </c>
    </row>
    <row r="4" spans="1:82" x14ac:dyDescent="0.15">
      <c r="B4" s="52" t="s">
        <v>25</v>
      </c>
      <c r="C4" s="50">
        <v>20</v>
      </c>
      <c r="D4" s="50">
        <v>25</v>
      </c>
      <c r="E4" s="50">
        <v>30</v>
      </c>
      <c r="F4" s="50">
        <v>35</v>
      </c>
      <c r="G4" s="50">
        <v>40</v>
      </c>
      <c r="H4" s="50">
        <v>45</v>
      </c>
      <c r="I4" s="50">
        <v>50</v>
      </c>
      <c r="J4" s="50">
        <v>55</v>
      </c>
      <c r="K4" s="50">
        <v>57</v>
      </c>
      <c r="L4" s="50">
        <v>60</v>
      </c>
      <c r="M4" s="51">
        <v>30</v>
      </c>
      <c r="N4" s="51">
        <v>35</v>
      </c>
      <c r="O4" s="51">
        <v>40</v>
      </c>
      <c r="P4" s="51">
        <v>45</v>
      </c>
      <c r="Q4" s="51">
        <v>50</v>
      </c>
      <c r="R4" s="51">
        <v>55</v>
      </c>
      <c r="S4" s="51">
        <v>60</v>
      </c>
      <c r="T4" s="51">
        <v>65</v>
      </c>
      <c r="U4" s="51">
        <v>67</v>
      </c>
      <c r="V4" s="51">
        <v>70</v>
      </c>
      <c r="W4" s="53">
        <v>40</v>
      </c>
      <c r="X4" s="53">
        <v>45</v>
      </c>
      <c r="Y4" s="53">
        <v>50</v>
      </c>
      <c r="Z4" s="53">
        <v>55</v>
      </c>
      <c r="AA4" s="53">
        <v>60</v>
      </c>
      <c r="AB4" s="53">
        <v>65</v>
      </c>
      <c r="AC4" s="53">
        <v>70</v>
      </c>
      <c r="AD4" s="53">
        <v>75</v>
      </c>
      <c r="AE4" s="53">
        <v>77</v>
      </c>
      <c r="AF4" s="53">
        <v>80</v>
      </c>
      <c r="AG4" s="54">
        <v>50</v>
      </c>
      <c r="AH4" s="54">
        <v>55</v>
      </c>
      <c r="AI4" s="54">
        <v>60</v>
      </c>
      <c r="AJ4" s="54">
        <v>65</v>
      </c>
      <c r="AK4" s="54">
        <v>70</v>
      </c>
      <c r="AL4" s="54">
        <v>75</v>
      </c>
      <c r="AM4" s="54">
        <v>80</v>
      </c>
      <c r="AN4" s="54">
        <v>85</v>
      </c>
      <c r="AO4" s="54">
        <v>87</v>
      </c>
      <c r="AP4" s="54">
        <v>90</v>
      </c>
      <c r="AQ4" s="55">
        <v>40</v>
      </c>
      <c r="AR4" s="55">
        <v>55</v>
      </c>
      <c r="AS4" s="55">
        <v>65</v>
      </c>
      <c r="AT4" s="55">
        <v>75</v>
      </c>
      <c r="AU4" s="55">
        <v>80</v>
      </c>
      <c r="AV4" s="55">
        <v>85</v>
      </c>
      <c r="AW4" s="55">
        <v>90</v>
      </c>
      <c r="AX4" s="55">
        <v>95</v>
      </c>
      <c r="AY4" s="55">
        <v>100</v>
      </c>
      <c r="AZ4" s="55">
        <v>105</v>
      </c>
      <c r="BA4" s="58">
        <v>50</v>
      </c>
      <c r="BB4" s="58">
        <v>65</v>
      </c>
      <c r="BC4" s="58">
        <v>80</v>
      </c>
      <c r="BD4" s="58">
        <v>90</v>
      </c>
      <c r="BE4" s="67">
        <v>100</v>
      </c>
      <c r="BF4" s="58">
        <v>110</v>
      </c>
      <c r="BG4" s="58">
        <v>115</v>
      </c>
      <c r="BH4" s="58">
        <v>120</v>
      </c>
      <c r="BI4" s="58">
        <v>125</v>
      </c>
      <c r="BJ4" s="58">
        <v>130</v>
      </c>
      <c r="BK4" s="50">
        <v>80</v>
      </c>
      <c r="BL4" s="50">
        <v>95</v>
      </c>
      <c r="BM4" s="50">
        <v>105</v>
      </c>
      <c r="BN4" s="50">
        <v>120</v>
      </c>
      <c r="BO4" s="50">
        <v>130</v>
      </c>
      <c r="BP4" s="50">
        <v>135</v>
      </c>
      <c r="BQ4" s="50">
        <v>140</v>
      </c>
      <c r="BR4" s="50">
        <v>145</v>
      </c>
      <c r="BS4" s="50">
        <v>150</v>
      </c>
      <c r="BT4" s="50">
        <v>155</v>
      </c>
      <c r="BU4" s="61">
        <v>95</v>
      </c>
      <c r="BV4" s="61">
        <v>110</v>
      </c>
      <c r="BW4" s="61">
        <v>125</v>
      </c>
      <c r="BX4" s="61">
        <v>135</v>
      </c>
      <c r="BY4" s="61">
        <v>145</v>
      </c>
      <c r="BZ4" s="61">
        <v>150</v>
      </c>
      <c r="CA4" s="61">
        <v>155</v>
      </c>
      <c r="CB4" s="61">
        <v>160</v>
      </c>
      <c r="CC4" s="61">
        <v>165</v>
      </c>
      <c r="CD4" s="61">
        <v>170</v>
      </c>
    </row>
    <row r="5" spans="1:82" x14ac:dyDescent="0.15">
      <c r="B5" s="52" t="s">
        <v>26</v>
      </c>
      <c r="C5" s="50">
        <v>25</v>
      </c>
      <c r="D5" s="50">
        <v>35</v>
      </c>
      <c r="E5" s="50">
        <v>40</v>
      </c>
      <c r="F5" s="50">
        <v>45</v>
      </c>
      <c r="G5" s="50">
        <v>50</v>
      </c>
      <c r="H5" s="50">
        <v>55</v>
      </c>
      <c r="I5" s="50">
        <v>60</v>
      </c>
      <c r="J5" s="50">
        <v>65</v>
      </c>
      <c r="K5" s="50">
        <v>67</v>
      </c>
      <c r="L5" s="50">
        <v>70</v>
      </c>
      <c r="M5" s="51">
        <v>35</v>
      </c>
      <c r="N5" s="51">
        <v>42</v>
      </c>
      <c r="O5" s="51">
        <v>50</v>
      </c>
      <c r="P5" s="51">
        <v>55</v>
      </c>
      <c r="Q5" s="51">
        <v>60</v>
      </c>
      <c r="R5" s="51">
        <v>65</v>
      </c>
      <c r="S5" s="51">
        <v>70</v>
      </c>
      <c r="T5" s="51">
        <v>75</v>
      </c>
      <c r="U5" s="51">
        <v>77</v>
      </c>
      <c r="V5" s="51">
        <v>80</v>
      </c>
      <c r="W5" s="53">
        <v>50</v>
      </c>
      <c r="X5" s="53">
        <v>55</v>
      </c>
      <c r="Y5" s="53">
        <v>62</v>
      </c>
      <c r="Z5" s="53">
        <v>70</v>
      </c>
      <c r="AA5" s="53">
        <v>75</v>
      </c>
      <c r="AB5" s="53">
        <v>80</v>
      </c>
      <c r="AC5" s="53">
        <v>85</v>
      </c>
      <c r="AD5" s="53">
        <v>90</v>
      </c>
      <c r="AE5" s="53">
        <v>92</v>
      </c>
      <c r="AF5" s="53">
        <v>95</v>
      </c>
      <c r="AG5" s="54">
        <v>60</v>
      </c>
      <c r="AH5" s="54">
        <v>67</v>
      </c>
      <c r="AI5" s="54">
        <v>75</v>
      </c>
      <c r="AJ5" s="54">
        <v>80</v>
      </c>
      <c r="AK5" s="54">
        <v>85</v>
      </c>
      <c r="AL5" s="54">
        <v>90</v>
      </c>
      <c r="AM5" s="54">
        <v>95</v>
      </c>
      <c r="AN5" s="54">
        <v>100</v>
      </c>
      <c r="AO5" s="54">
        <v>102</v>
      </c>
      <c r="AP5" s="54">
        <v>105</v>
      </c>
      <c r="AQ5" s="56">
        <v>55</v>
      </c>
      <c r="AR5" s="56">
        <v>70</v>
      </c>
      <c r="AS5" s="56">
        <v>80</v>
      </c>
      <c r="AT5" s="56">
        <v>95</v>
      </c>
      <c r="AU5" s="56">
        <v>100</v>
      </c>
      <c r="AV5" s="56">
        <v>105</v>
      </c>
      <c r="AW5" s="56">
        <v>110</v>
      </c>
      <c r="AX5" s="56">
        <v>115</v>
      </c>
      <c r="AY5" s="56">
        <v>120</v>
      </c>
      <c r="AZ5" s="56">
        <v>125</v>
      </c>
      <c r="BA5" s="59">
        <v>65</v>
      </c>
      <c r="BB5" s="59">
        <v>85</v>
      </c>
      <c r="BC5" s="59">
        <v>100</v>
      </c>
      <c r="BD5" s="59">
        <v>110</v>
      </c>
      <c r="BE5" s="59">
        <v>120</v>
      </c>
      <c r="BF5" s="59">
        <v>130</v>
      </c>
      <c r="BG5" s="59">
        <v>135</v>
      </c>
      <c r="BH5" s="59">
        <v>140</v>
      </c>
      <c r="BI5" s="59">
        <v>145</v>
      </c>
      <c r="BJ5" s="59">
        <v>150</v>
      </c>
      <c r="BK5" s="62">
        <v>100</v>
      </c>
      <c r="BL5" s="62">
        <v>115</v>
      </c>
      <c r="BM5" s="62">
        <v>125</v>
      </c>
      <c r="BN5" s="62">
        <v>140</v>
      </c>
      <c r="BO5" s="62">
        <v>150</v>
      </c>
      <c r="BP5" s="62">
        <v>160</v>
      </c>
      <c r="BQ5" s="62">
        <v>165</v>
      </c>
      <c r="BR5" s="62">
        <v>170</v>
      </c>
      <c r="BS5" s="62">
        <v>175</v>
      </c>
      <c r="BT5" s="62">
        <v>180</v>
      </c>
      <c r="BU5" s="60">
        <v>115</v>
      </c>
      <c r="BV5" s="60">
        <v>130</v>
      </c>
      <c r="BW5" s="60">
        <v>145</v>
      </c>
      <c r="BX5" s="60">
        <v>160</v>
      </c>
      <c r="BY5" s="60">
        <v>170</v>
      </c>
      <c r="BZ5" s="60">
        <v>175</v>
      </c>
      <c r="CA5" s="60">
        <v>180</v>
      </c>
      <c r="CB5" s="60">
        <v>185</v>
      </c>
      <c r="CC5" s="60">
        <v>190</v>
      </c>
      <c r="CD5" s="60">
        <v>195</v>
      </c>
    </row>
    <row r="6" spans="1:82" x14ac:dyDescent="0.15">
      <c r="B6" s="52" t="s">
        <v>27</v>
      </c>
      <c r="C6" s="50">
        <v>35</v>
      </c>
      <c r="D6" s="50">
        <v>45</v>
      </c>
      <c r="E6" s="50">
        <v>50</v>
      </c>
      <c r="F6" s="50">
        <v>57</v>
      </c>
      <c r="G6" s="50">
        <v>62</v>
      </c>
      <c r="H6" s="50">
        <v>67</v>
      </c>
      <c r="I6" s="50">
        <v>72</v>
      </c>
      <c r="J6" s="50">
        <v>75</v>
      </c>
      <c r="K6" s="50">
        <v>77</v>
      </c>
      <c r="L6" s="50">
        <v>80</v>
      </c>
      <c r="M6" s="51">
        <v>45</v>
      </c>
      <c r="N6" s="51">
        <v>50</v>
      </c>
      <c r="O6" s="51">
        <v>57</v>
      </c>
      <c r="P6" s="51">
        <v>65</v>
      </c>
      <c r="Q6" s="51">
        <v>70</v>
      </c>
      <c r="R6" s="51">
        <v>75</v>
      </c>
      <c r="S6" s="51">
        <v>80</v>
      </c>
      <c r="T6" s="51">
        <v>85</v>
      </c>
      <c r="U6" s="51">
        <v>90</v>
      </c>
      <c r="V6" s="51">
        <v>95</v>
      </c>
      <c r="W6" s="53">
        <v>60</v>
      </c>
      <c r="X6" s="53">
        <v>65</v>
      </c>
      <c r="Y6" s="53">
        <v>75</v>
      </c>
      <c r="Z6" s="53">
        <v>82</v>
      </c>
      <c r="AA6" s="53">
        <v>90</v>
      </c>
      <c r="AB6" s="53">
        <v>95</v>
      </c>
      <c r="AC6" s="53">
        <v>100</v>
      </c>
      <c r="AD6" s="53">
        <v>105</v>
      </c>
      <c r="AE6" s="53">
        <v>107</v>
      </c>
      <c r="AF6" s="53">
        <v>110</v>
      </c>
      <c r="AG6" s="54">
        <v>70</v>
      </c>
      <c r="AH6" s="54">
        <v>80</v>
      </c>
      <c r="AI6" s="54">
        <v>87</v>
      </c>
      <c r="AJ6" s="54">
        <v>92</v>
      </c>
      <c r="AK6" s="54">
        <v>100</v>
      </c>
      <c r="AL6" s="54">
        <v>107</v>
      </c>
      <c r="AM6" s="54">
        <v>115</v>
      </c>
      <c r="AN6" s="54">
        <v>120</v>
      </c>
      <c r="AO6" s="54">
        <v>122</v>
      </c>
      <c r="AP6" s="54">
        <v>125</v>
      </c>
      <c r="AQ6" s="56">
        <v>70</v>
      </c>
      <c r="AR6" s="56">
        <v>85</v>
      </c>
      <c r="AS6" s="56">
        <v>100</v>
      </c>
      <c r="AT6" s="56">
        <v>110</v>
      </c>
      <c r="AU6" s="56">
        <v>120</v>
      </c>
      <c r="AV6" s="56">
        <v>130</v>
      </c>
      <c r="AW6" s="56">
        <v>135</v>
      </c>
      <c r="AX6" s="56">
        <v>140</v>
      </c>
      <c r="AY6" s="56">
        <v>145</v>
      </c>
      <c r="AZ6" s="56">
        <v>150</v>
      </c>
      <c r="BA6" s="59">
        <v>80</v>
      </c>
      <c r="BB6" s="59">
        <v>100</v>
      </c>
      <c r="BC6" s="59">
        <v>120</v>
      </c>
      <c r="BD6" s="59">
        <v>130</v>
      </c>
      <c r="BE6" s="59">
        <v>140</v>
      </c>
      <c r="BF6" s="59">
        <v>150</v>
      </c>
      <c r="BG6" s="59">
        <v>160</v>
      </c>
      <c r="BH6" s="59">
        <v>165</v>
      </c>
      <c r="BI6" s="59">
        <v>170</v>
      </c>
      <c r="BJ6" s="59">
        <v>175</v>
      </c>
      <c r="BK6" s="62">
        <v>115</v>
      </c>
      <c r="BL6" s="62">
        <v>130</v>
      </c>
      <c r="BM6" s="62">
        <v>150</v>
      </c>
      <c r="BN6" s="62">
        <v>160</v>
      </c>
      <c r="BO6" s="62">
        <v>170</v>
      </c>
      <c r="BP6" s="62">
        <v>180</v>
      </c>
      <c r="BQ6" s="62">
        <v>185</v>
      </c>
      <c r="BR6" s="62">
        <v>190</v>
      </c>
      <c r="BS6" s="62">
        <v>195</v>
      </c>
      <c r="BT6" s="62">
        <v>200</v>
      </c>
      <c r="BU6" s="60">
        <v>130</v>
      </c>
      <c r="BV6" s="60">
        <v>150</v>
      </c>
      <c r="BW6" s="60">
        <v>170</v>
      </c>
      <c r="BX6" s="60">
        <v>185</v>
      </c>
      <c r="BY6" s="60">
        <v>195</v>
      </c>
      <c r="BZ6" s="60">
        <v>200</v>
      </c>
      <c r="CA6" s="60">
        <v>205</v>
      </c>
      <c r="CB6" s="60">
        <v>210</v>
      </c>
      <c r="CC6" s="60">
        <v>215</v>
      </c>
      <c r="CD6" s="60">
        <v>220</v>
      </c>
    </row>
    <row r="7" spans="1:82" x14ac:dyDescent="0.15">
      <c r="B7" s="52" t="s">
        <v>28</v>
      </c>
      <c r="C7" s="50">
        <v>45</v>
      </c>
      <c r="D7" s="50">
        <v>55</v>
      </c>
      <c r="E7" s="50">
        <v>60</v>
      </c>
      <c r="F7" s="50">
        <v>67</v>
      </c>
      <c r="G7" s="50">
        <v>72</v>
      </c>
      <c r="H7" s="50">
        <v>77</v>
      </c>
      <c r="I7" s="50">
        <v>82</v>
      </c>
      <c r="J7" s="50">
        <v>85</v>
      </c>
      <c r="K7" s="50">
        <v>87</v>
      </c>
      <c r="L7" s="50">
        <v>90</v>
      </c>
      <c r="M7" s="51">
        <v>55</v>
      </c>
      <c r="N7" s="51">
        <v>60</v>
      </c>
      <c r="O7" s="51">
        <v>67</v>
      </c>
      <c r="P7" s="51">
        <v>77</v>
      </c>
      <c r="Q7" s="51">
        <v>82</v>
      </c>
      <c r="R7" s="51">
        <v>87</v>
      </c>
      <c r="S7" s="51">
        <v>92</v>
      </c>
      <c r="T7" s="51">
        <v>97</v>
      </c>
      <c r="U7" s="51">
        <v>100</v>
      </c>
      <c r="V7" s="51">
        <v>105</v>
      </c>
      <c r="W7" s="53">
        <v>70</v>
      </c>
      <c r="X7" s="53">
        <v>77</v>
      </c>
      <c r="Y7" s="53">
        <v>87</v>
      </c>
      <c r="Z7" s="53">
        <v>95</v>
      </c>
      <c r="AA7" s="53">
        <v>105</v>
      </c>
      <c r="AB7" s="53">
        <v>110</v>
      </c>
      <c r="AC7" s="53">
        <v>115</v>
      </c>
      <c r="AD7" s="53">
        <v>120</v>
      </c>
      <c r="AE7" s="53">
        <v>122</v>
      </c>
      <c r="AF7" s="53">
        <v>125</v>
      </c>
      <c r="AG7" s="54">
        <v>82</v>
      </c>
      <c r="AH7" s="54">
        <v>92</v>
      </c>
      <c r="AI7" s="54">
        <v>102</v>
      </c>
      <c r="AJ7" s="54">
        <v>107</v>
      </c>
      <c r="AK7" s="54">
        <v>117</v>
      </c>
      <c r="AL7" s="54">
        <v>122</v>
      </c>
      <c r="AM7" s="54">
        <v>130</v>
      </c>
      <c r="AN7" s="54">
        <v>135</v>
      </c>
      <c r="AO7" s="54">
        <v>137</v>
      </c>
      <c r="AP7" s="54">
        <v>140</v>
      </c>
      <c r="AQ7" s="56">
        <v>85</v>
      </c>
      <c r="AR7" s="56">
        <v>100</v>
      </c>
      <c r="AS7" s="56">
        <v>115</v>
      </c>
      <c r="AT7" s="56">
        <v>130</v>
      </c>
      <c r="AU7" s="56">
        <v>140</v>
      </c>
      <c r="AV7" s="56">
        <v>150</v>
      </c>
      <c r="AW7" s="56">
        <v>155</v>
      </c>
      <c r="AX7" s="56">
        <v>160</v>
      </c>
      <c r="AY7" s="56">
        <v>165</v>
      </c>
      <c r="AZ7" s="56">
        <v>170</v>
      </c>
      <c r="BA7" s="59">
        <v>95</v>
      </c>
      <c r="BB7" s="59">
        <v>115</v>
      </c>
      <c r="BC7" s="59">
        <v>135</v>
      </c>
      <c r="BD7" s="59">
        <v>150</v>
      </c>
      <c r="BE7" s="59">
        <v>160</v>
      </c>
      <c r="BF7" s="59">
        <v>170</v>
      </c>
      <c r="BG7" s="59">
        <v>180</v>
      </c>
      <c r="BH7" s="59">
        <v>185</v>
      </c>
      <c r="BI7" s="59">
        <v>190</v>
      </c>
      <c r="BJ7" s="59">
        <v>195</v>
      </c>
      <c r="BK7" s="62">
        <v>130</v>
      </c>
      <c r="BL7" s="62">
        <v>150</v>
      </c>
      <c r="BM7" s="62">
        <v>170</v>
      </c>
      <c r="BN7" s="62">
        <v>180</v>
      </c>
      <c r="BO7" s="62">
        <v>190</v>
      </c>
      <c r="BP7" s="62">
        <v>200</v>
      </c>
      <c r="BQ7" s="62">
        <v>210</v>
      </c>
      <c r="BR7" s="62">
        <v>215</v>
      </c>
      <c r="BS7" s="62">
        <v>220</v>
      </c>
      <c r="BT7" s="62">
        <v>225</v>
      </c>
      <c r="BU7" s="60">
        <v>145</v>
      </c>
      <c r="BV7" s="60">
        <v>170</v>
      </c>
      <c r="BW7" s="60">
        <v>195</v>
      </c>
      <c r="BX7" s="60">
        <v>210</v>
      </c>
      <c r="BY7" s="60">
        <v>220</v>
      </c>
      <c r="BZ7" s="60">
        <v>230</v>
      </c>
      <c r="CA7" s="60">
        <v>235</v>
      </c>
      <c r="CB7" s="60">
        <v>240</v>
      </c>
      <c r="CC7" s="60">
        <v>245</v>
      </c>
      <c r="CD7" s="60">
        <v>250</v>
      </c>
    </row>
    <row r="8" spans="1:82" x14ac:dyDescent="0.15">
      <c r="B8" s="52" t="s">
        <v>29</v>
      </c>
      <c r="C8" s="50">
        <v>55</v>
      </c>
      <c r="D8" s="50">
        <v>65</v>
      </c>
      <c r="E8" s="50">
        <v>72</v>
      </c>
      <c r="F8" s="50">
        <v>82</v>
      </c>
      <c r="G8" s="50">
        <v>87</v>
      </c>
      <c r="H8" s="50">
        <v>92</v>
      </c>
      <c r="I8" s="50">
        <v>97</v>
      </c>
      <c r="J8" s="50">
        <v>100</v>
      </c>
      <c r="K8" s="50">
        <v>102</v>
      </c>
      <c r="L8" s="50">
        <v>105</v>
      </c>
      <c r="M8" s="51">
        <v>68</v>
      </c>
      <c r="N8" s="51">
        <v>75</v>
      </c>
      <c r="O8" s="51">
        <v>82</v>
      </c>
      <c r="P8" s="51">
        <v>92</v>
      </c>
      <c r="Q8" s="51">
        <v>97</v>
      </c>
      <c r="R8" s="51">
        <v>102</v>
      </c>
      <c r="S8" s="51">
        <v>107</v>
      </c>
      <c r="T8" s="51">
        <v>110</v>
      </c>
      <c r="U8" s="51">
        <v>112</v>
      </c>
      <c r="V8" s="51">
        <v>115</v>
      </c>
      <c r="W8" s="53">
        <v>83</v>
      </c>
      <c r="X8" s="53">
        <v>90</v>
      </c>
      <c r="Y8" s="53">
        <v>103</v>
      </c>
      <c r="Z8" s="53">
        <v>110</v>
      </c>
      <c r="AA8" s="53">
        <v>118</v>
      </c>
      <c r="AB8" s="53">
        <v>123</v>
      </c>
      <c r="AC8" s="53">
        <v>127</v>
      </c>
      <c r="AD8" s="53">
        <v>132</v>
      </c>
      <c r="AE8" s="53">
        <v>135</v>
      </c>
      <c r="AF8" s="53">
        <v>140</v>
      </c>
      <c r="AG8" s="54">
        <v>95</v>
      </c>
      <c r="AH8" s="54">
        <v>107</v>
      </c>
      <c r="AI8" s="54">
        <v>123</v>
      </c>
      <c r="AJ8" s="54">
        <v>130</v>
      </c>
      <c r="AK8" s="54">
        <v>137</v>
      </c>
      <c r="AL8" s="54">
        <v>142</v>
      </c>
      <c r="AM8" s="54">
        <v>147</v>
      </c>
      <c r="AN8" s="54">
        <v>150</v>
      </c>
      <c r="AO8" s="54">
        <v>152</v>
      </c>
      <c r="AP8" s="54">
        <v>155</v>
      </c>
      <c r="AQ8" s="56">
        <v>100</v>
      </c>
      <c r="AR8" s="56">
        <v>115</v>
      </c>
      <c r="AS8" s="56">
        <v>130</v>
      </c>
      <c r="AT8" s="56">
        <v>150</v>
      </c>
      <c r="AU8" s="56">
        <v>160</v>
      </c>
      <c r="AV8" s="56">
        <v>170</v>
      </c>
      <c r="AW8" s="56">
        <v>175</v>
      </c>
      <c r="AX8" s="56">
        <v>180</v>
      </c>
      <c r="AY8" s="56">
        <v>185</v>
      </c>
      <c r="AZ8" s="56">
        <v>190</v>
      </c>
      <c r="BA8" s="59">
        <v>110</v>
      </c>
      <c r="BB8" s="59">
        <v>130</v>
      </c>
      <c r="BC8" s="59">
        <v>150</v>
      </c>
      <c r="BD8" s="59">
        <v>170</v>
      </c>
      <c r="BE8" s="59">
        <v>180</v>
      </c>
      <c r="BF8" s="59">
        <v>190</v>
      </c>
      <c r="BG8" s="59">
        <v>200</v>
      </c>
      <c r="BH8" s="59">
        <v>205</v>
      </c>
      <c r="BI8" s="59">
        <v>210</v>
      </c>
      <c r="BJ8" s="59">
        <v>215</v>
      </c>
      <c r="BK8" s="62">
        <v>145</v>
      </c>
      <c r="BL8" s="62">
        <v>170</v>
      </c>
      <c r="BM8" s="62">
        <v>190</v>
      </c>
      <c r="BN8" s="62">
        <v>200</v>
      </c>
      <c r="BO8" s="62">
        <v>215</v>
      </c>
      <c r="BP8" s="62">
        <v>225</v>
      </c>
      <c r="BQ8" s="62">
        <v>230</v>
      </c>
      <c r="BR8" s="62">
        <v>240</v>
      </c>
      <c r="BS8" s="62">
        <v>245</v>
      </c>
      <c r="BT8" s="62">
        <v>250</v>
      </c>
      <c r="BU8" s="60">
        <v>170</v>
      </c>
      <c r="BV8" s="60">
        <v>195</v>
      </c>
      <c r="BW8" s="60">
        <v>225</v>
      </c>
      <c r="BX8" s="60">
        <v>240</v>
      </c>
      <c r="BY8" s="60">
        <v>250</v>
      </c>
      <c r="BZ8" s="60">
        <v>260</v>
      </c>
      <c r="CA8" s="60">
        <v>265</v>
      </c>
      <c r="CB8" s="60">
        <v>270</v>
      </c>
      <c r="CC8" s="60">
        <v>275</v>
      </c>
      <c r="CD8" s="60">
        <v>280</v>
      </c>
    </row>
    <row r="9" spans="1:82" x14ac:dyDescent="0.15">
      <c r="B9" s="52" t="s">
        <v>30</v>
      </c>
      <c r="C9" s="50">
        <v>68</v>
      </c>
      <c r="D9" s="50">
        <v>78</v>
      </c>
      <c r="E9" s="50">
        <v>85</v>
      </c>
      <c r="F9" s="50">
        <v>95</v>
      </c>
      <c r="G9" s="50">
        <v>100</v>
      </c>
      <c r="H9" s="50">
        <v>105</v>
      </c>
      <c r="I9" s="50">
        <v>110</v>
      </c>
      <c r="J9" s="50">
        <v>115</v>
      </c>
      <c r="K9" s="50">
        <v>117</v>
      </c>
      <c r="L9" s="50">
        <v>120</v>
      </c>
      <c r="M9" s="51">
        <v>80</v>
      </c>
      <c r="N9" s="51">
        <v>88</v>
      </c>
      <c r="O9" s="51">
        <v>95</v>
      </c>
      <c r="P9" s="51">
        <v>105</v>
      </c>
      <c r="Q9" s="51">
        <v>110</v>
      </c>
      <c r="R9" s="51">
        <v>115</v>
      </c>
      <c r="S9" s="51">
        <v>120</v>
      </c>
      <c r="T9" s="51">
        <v>125</v>
      </c>
      <c r="U9" s="51">
        <v>130</v>
      </c>
      <c r="V9" s="51">
        <v>135</v>
      </c>
      <c r="W9" s="53">
        <v>97</v>
      </c>
      <c r="X9" s="53">
        <v>105</v>
      </c>
      <c r="Y9" s="53">
        <v>118</v>
      </c>
      <c r="Z9" s="53">
        <v>125</v>
      </c>
      <c r="AA9" s="53">
        <v>135</v>
      </c>
      <c r="AB9" s="53">
        <v>142</v>
      </c>
      <c r="AC9" s="53">
        <v>147</v>
      </c>
      <c r="AD9" s="53">
        <v>152</v>
      </c>
      <c r="AE9" s="53">
        <v>155</v>
      </c>
      <c r="AF9" s="53">
        <v>160</v>
      </c>
      <c r="AG9" s="54">
        <v>110</v>
      </c>
      <c r="AH9" s="54">
        <v>122</v>
      </c>
      <c r="AI9" s="54">
        <v>138</v>
      </c>
      <c r="AJ9" s="54">
        <v>145</v>
      </c>
      <c r="AK9" s="54">
        <v>155</v>
      </c>
      <c r="AL9" s="54">
        <v>165</v>
      </c>
      <c r="AM9" s="54">
        <v>170</v>
      </c>
      <c r="AN9" s="54">
        <v>172</v>
      </c>
      <c r="AO9" s="54">
        <v>175</v>
      </c>
      <c r="AP9" s="54">
        <v>180</v>
      </c>
      <c r="AQ9" s="56">
        <v>115</v>
      </c>
      <c r="AR9" s="56">
        <v>130</v>
      </c>
      <c r="AS9" s="56">
        <v>150</v>
      </c>
      <c r="AT9" s="56">
        <v>170</v>
      </c>
      <c r="AU9" s="56">
        <v>180</v>
      </c>
      <c r="AV9" s="56">
        <v>190</v>
      </c>
      <c r="AW9" s="56">
        <v>200</v>
      </c>
      <c r="AX9" s="56">
        <v>205</v>
      </c>
      <c r="AY9" s="56">
        <v>210</v>
      </c>
      <c r="AZ9" s="56">
        <v>215</v>
      </c>
      <c r="BA9" s="59">
        <v>125</v>
      </c>
      <c r="BB9" s="59">
        <v>145</v>
      </c>
      <c r="BC9" s="59">
        <v>170</v>
      </c>
      <c r="BD9" s="59">
        <v>190</v>
      </c>
      <c r="BE9" s="59">
        <v>200</v>
      </c>
      <c r="BF9" s="59">
        <v>210</v>
      </c>
      <c r="BG9" s="59">
        <v>220</v>
      </c>
      <c r="BH9" s="59">
        <v>225</v>
      </c>
      <c r="BI9" s="59">
        <v>230</v>
      </c>
      <c r="BJ9" s="59">
        <v>235</v>
      </c>
      <c r="BK9" s="62">
        <v>170</v>
      </c>
      <c r="BL9" s="62">
        <v>190</v>
      </c>
      <c r="BM9" s="62">
        <v>218</v>
      </c>
      <c r="BN9" s="62">
        <v>230</v>
      </c>
      <c r="BO9" s="62">
        <v>245</v>
      </c>
      <c r="BP9" s="62">
        <v>255</v>
      </c>
      <c r="BQ9" s="62">
        <v>260</v>
      </c>
      <c r="BR9" s="62">
        <v>270</v>
      </c>
      <c r="BS9" s="62">
        <v>275</v>
      </c>
      <c r="BT9" s="62">
        <v>280</v>
      </c>
      <c r="BU9" s="60">
        <v>190</v>
      </c>
      <c r="BV9" s="60">
        <v>215</v>
      </c>
      <c r="BW9" s="60">
        <v>240</v>
      </c>
      <c r="BX9" s="60">
        <v>260</v>
      </c>
      <c r="BY9" s="60">
        <v>275</v>
      </c>
      <c r="BZ9" s="60">
        <v>287</v>
      </c>
      <c r="CA9" s="60">
        <v>295</v>
      </c>
      <c r="CB9" s="60">
        <v>302</v>
      </c>
      <c r="CC9" s="60">
        <v>310</v>
      </c>
      <c r="CD9" s="60">
        <v>315</v>
      </c>
    </row>
    <row r="10" spans="1:82" x14ac:dyDescent="0.15">
      <c r="B10" s="52" t="s">
        <v>31</v>
      </c>
      <c r="C10" s="50">
        <v>80</v>
      </c>
      <c r="D10" s="50">
        <v>90</v>
      </c>
      <c r="E10" s="50">
        <v>100</v>
      </c>
      <c r="F10" s="50">
        <v>110</v>
      </c>
      <c r="G10" s="50">
        <v>115</v>
      </c>
      <c r="H10" s="50">
        <v>120</v>
      </c>
      <c r="I10" s="50">
        <v>125</v>
      </c>
      <c r="J10" s="50">
        <v>130</v>
      </c>
      <c r="K10" s="50">
        <v>132</v>
      </c>
      <c r="L10" s="50">
        <v>135</v>
      </c>
      <c r="M10" s="51">
        <v>90</v>
      </c>
      <c r="N10" s="51">
        <v>100</v>
      </c>
      <c r="O10" s="51">
        <v>110</v>
      </c>
      <c r="P10" s="51">
        <v>120</v>
      </c>
      <c r="Q10" s="51">
        <v>125</v>
      </c>
      <c r="R10" s="51">
        <v>130</v>
      </c>
      <c r="S10" s="51">
        <v>135</v>
      </c>
      <c r="T10" s="51">
        <v>140</v>
      </c>
      <c r="U10" s="51">
        <v>145</v>
      </c>
      <c r="V10" s="51">
        <v>150</v>
      </c>
      <c r="W10" s="53">
        <v>110</v>
      </c>
      <c r="X10" s="53">
        <v>120</v>
      </c>
      <c r="Y10" s="53">
        <v>138</v>
      </c>
      <c r="Z10" s="53">
        <v>145</v>
      </c>
      <c r="AA10" s="53">
        <v>155</v>
      </c>
      <c r="AB10" s="53">
        <v>162</v>
      </c>
      <c r="AC10" s="53">
        <v>167</v>
      </c>
      <c r="AD10" s="53">
        <v>172</v>
      </c>
      <c r="AE10" s="53">
        <v>175</v>
      </c>
      <c r="AF10" s="53">
        <v>180</v>
      </c>
      <c r="AG10" s="54">
        <v>125</v>
      </c>
      <c r="AH10" s="54">
        <v>140</v>
      </c>
      <c r="AI10" s="54">
        <v>155</v>
      </c>
      <c r="AJ10" s="54">
        <v>165</v>
      </c>
      <c r="AK10" s="54">
        <v>175</v>
      </c>
      <c r="AL10" s="54">
        <v>185</v>
      </c>
      <c r="AM10" s="54">
        <v>190</v>
      </c>
      <c r="AN10" s="54">
        <v>192</v>
      </c>
      <c r="AO10" s="54">
        <v>195</v>
      </c>
      <c r="AP10" s="54">
        <v>200</v>
      </c>
      <c r="AQ10" s="56">
        <v>130</v>
      </c>
      <c r="AR10" s="56">
        <v>150</v>
      </c>
      <c r="AS10" s="56">
        <v>170</v>
      </c>
      <c r="AT10" s="56">
        <v>190</v>
      </c>
      <c r="AU10" s="56">
        <v>200</v>
      </c>
      <c r="AV10" s="56">
        <v>210</v>
      </c>
      <c r="AW10" s="56">
        <v>220</v>
      </c>
      <c r="AX10" s="56">
        <v>225</v>
      </c>
      <c r="AY10" s="56">
        <v>230</v>
      </c>
      <c r="AZ10" s="56">
        <v>235</v>
      </c>
      <c r="BA10" s="59">
        <v>140</v>
      </c>
      <c r="BB10" s="59">
        <v>170</v>
      </c>
      <c r="BC10" s="59">
        <v>190</v>
      </c>
      <c r="BD10" s="59">
        <v>210</v>
      </c>
      <c r="BE10" s="59">
        <v>220</v>
      </c>
      <c r="BF10" s="59">
        <v>230</v>
      </c>
      <c r="BG10" s="59">
        <v>240</v>
      </c>
      <c r="BH10" s="59">
        <v>250</v>
      </c>
      <c r="BI10" s="59">
        <v>255</v>
      </c>
      <c r="BJ10" s="59">
        <v>260</v>
      </c>
      <c r="BK10" s="62">
        <v>190</v>
      </c>
      <c r="BL10" s="62">
        <v>210</v>
      </c>
      <c r="BM10" s="62">
        <v>240</v>
      </c>
      <c r="BN10" s="62">
        <v>250</v>
      </c>
      <c r="BO10" s="62">
        <v>270</v>
      </c>
      <c r="BP10" s="62">
        <v>285</v>
      </c>
      <c r="BQ10" s="62">
        <v>290</v>
      </c>
      <c r="BR10" s="62">
        <v>300</v>
      </c>
      <c r="BS10" s="62">
        <v>305</v>
      </c>
      <c r="BT10" s="62">
        <v>310</v>
      </c>
      <c r="BU10" s="60">
        <v>210</v>
      </c>
      <c r="BV10" s="60">
        <v>235</v>
      </c>
      <c r="BW10" s="60">
        <v>260</v>
      </c>
      <c r="BX10" s="60">
        <v>280</v>
      </c>
      <c r="BY10" s="60">
        <v>295</v>
      </c>
      <c r="BZ10" s="60">
        <v>310</v>
      </c>
      <c r="CA10" s="60">
        <v>320</v>
      </c>
      <c r="CB10" s="60">
        <v>330</v>
      </c>
      <c r="CC10" s="60">
        <v>335</v>
      </c>
      <c r="CD10" s="60">
        <v>340</v>
      </c>
    </row>
    <row r="11" spans="1:82" x14ac:dyDescent="0.15">
      <c r="B11" s="52" t="s">
        <v>32</v>
      </c>
      <c r="C11" s="50">
        <v>90</v>
      </c>
      <c r="D11" s="50">
        <v>105</v>
      </c>
      <c r="E11" s="50">
        <v>115</v>
      </c>
      <c r="F11" s="50">
        <v>125</v>
      </c>
      <c r="G11" s="50">
        <v>130</v>
      </c>
      <c r="H11" s="50">
        <v>135</v>
      </c>
      <c r="I11" s="50">
        <v>140</v>
      </c>
      <c r="J11" s="50">
        <v>145</v>
      </c>
      <c r="K11" s="50">
        <v>147</v>
      </c>
      <c r="L11" s="50">
        <v>150</v>
      </c>
      <c r="M11" s="51">
        <v>105</v>
      </c>
      <c r="N11" s="51">
        <v>115</v>
      </c>
      <c r="O11" s="51">
        <v>125</v>
      </c>
      <c r="P11" s="51">
        <v>135</v>
      </c>
      <c r="Q11" s="51">
        <v>140</v>
      </c>
      <c r="R11" s="51">
        <v>145</v>
      </c>
      <c r="S11" s="51">
        <v>150</v>
      </c>
      <c r="T11" s="51">
        <v>160</v>
      </c>
      <c r="U11" s="51">
        <v>165</v>
      </c>
      <c r="V11" s="51">
        <v>170</v>
      </c>
      <c r="W11" s="53">
        <v>130</v>
      </c>
      <c r="X11" s="53">
        <v>140</v>
      </c>
      <c r="Y11" s="53">
        <v>160</v>
      </c>
      <c r="Z11" s="53">
        <v>165</v>
      </c>
      <c r="AA11" s="53">
        <v>175</v>
      </c>
      <c r="AB11" s="53">
        <v>182</v>
      </c>
      <c r="AC11" s="53">
        <v>187</v>
      </c>
      <c r="AD11" s="53">
        <v>192</v>
      </c>
      <c r="AE11" s="53">
        <v>195</v>
      </c>
      <c r="AF11" s="53">
        <v>200</v>
      </c>
      <c r="AG11" s="54">
        <v>145</v>
      </c>
      <c r="AH11" s="54">
        <v>160</v>
      </c>
      <c r="AI11" s="54">
        <v>175</v>
      </c>
      <c r="AJ11" s="54">
        <v>185</v>
      </c>
      <c r="AK11" s="54">
        <v>195</v>
      </c>
      <c r="AL11" s="54">
        <v>205</v>
      </c>
      <c r="AM11" s="54">
        <v>210</v>
      </c>
      <c r="AN11" s="54">
        <v>212</v>
      </c>
      <c r="AO11" s="54">
        <v>215</v>
      </c>
      <c r="AP11" s="54">
        <v>220</v>
      </c>
      <c r="AQ11" s="56">
        <v>145</v>
      </c>
      <c r="AR11" s="56">
        <v>170</v>
      </c>
      <c r="AS11" s="56">
        <v>190</v>
      </c>
      <c r="AT11" s="56">
        <v>210</v>
      </c>
      <c r="AU11" s="56">
        <v>220</v>
      </c>
      <c r="AV11" s="56">
        <v>230</v>
      </c>
      <c r="AW11" s="56">
        <v>240</v>
      </c>
      <c r="AX11" s="56">
        <v>245</v>
      </c>
      <c r="AY11" s="56">
        <v>250</v>
      </c>
      <c r="AZ11" s="56">
        <v>255</v>
      </c>
      <c r="BA11" s="59">
        <v>155</v>
      </c>
      <c r="BB11" s="59">
        <v>190</v>
      </c>
      <c r="BC11" s="59">
        <v>210</v>
      </c>
      <c r="BD11" s="59">
        <v>230</v>
      </c>
      <c r="BE11" s="59">
        <v>240</v>
      </c>
      <c r="BF11" s="59">
        <v>260</v>
      </c>
      <c r="BG11" s="59">
        <v>270</v>
      </c>
      <c r="BH11" s="59">
        <v>280</v>
      </c>
      <c r="BI11" s="59">
        <v>285</v>
      </c>
      <c r="BJ11" s="59">
        <v>290</v>
      </c>
      <c r="BK11" s="62">
        <v>210</v>
      </c>
      <c r="BL11" s="62">
        <v>230</v>
      </c>
      <c r="BM11" s="62">
        <v>260</v>
      </c>
      <c r="BN11" s="62">
        <v>275</v>
      </c>
      <c r="BO11" s="62">
        <v>295</v>
      </c>
      <c r="BP11" s="62">
        <v>310</v>
      </c>
      <c r="BQ11" s="62">
        <v>315</v>
      </c>
      <c r="BR11" s="62">
        <v>325</v>
      </c>
      <c r="BS11" s="62">
        <v>330</v>
      </c>
      <c r="BT11" s="62">
        <v>335</v>
      </c>
      <c r="BU11" s="60">
        <v>230</v>
      </c>
      <c r="BV11" s="60">
        <v>260</v>
      </c>
      <c r="BW11" s="60">
        <v>280</v>
      </c>
      <c r="BX11" s="60">
        <v>300</v>
      </c>
      <c r="BY11" s="60">
        <v>320</v>
      </c>
      <c r="BZ11" s="60">
        <v>330</v>
      </c>
      <c r="CA11" s="60">
        <v>340</v>
      </c>
      <c r="CB11" s="60">
        <v>350</v>
      </c>
      <c r="CC11" s="60">
        <v>360</v>
      </c>
      <c r="CD11" s="60">
        <v>365</v>
      </c>
    </row>
    <row r="12" spans="1:82" x14ac:dyDescent="0.15">
      <c r="B12" s="52" t="s">
        <v>33</v>
      </c>
      <c r="C12" s="54">
        <v>175</v>
      </c>
      <c r="D12" s="54">
        <v>175</v>
      </c>
      <c r="E12" s="54">
        <v>175</v>
      </c>
      <c r="F12" s="54">
        <v>190</v>
      </c>
      <c r="G12" s="54">
        <v>200</v>
      </c>
      <c r="H12" s="54">
        <v>210</v>
      </c>
      <c r="I12" s="54">
        <v>225</v>
      </c>
      <c r="J12" s="54">
        <v>225</v>
      </c>
      <c r="K12" s="54">
        <v>230</v>
      </c>
      <c r="L12" s="54">
        <v>230</v>
      </c>
      <c r="M12" s="54">
        <v>175</v>
      </c>
      <c r="N12" s="54">
        <v>175</v>
      </c>
      <c r="O12" s="54">
        <v>175</v>
      </c>
      <c r="P12" s="54">
        <v>190</v>
      </c>
      <c r="Q12" s="54">
        <v>200</v>
      </c>
      <c r="R12" s="54">
        <v>210</v>
      </c>
      <c r="S12" s="54">
        <v>225</v>
      </c>
      <c r="T12" s="54">
        <v>225</v>
      </c>
      <c r="U12" s="54">
        <v>230</v>
      </c>
      <c r="V12" s="54">
        <v>230</v>
      </c>
      <c r="W12" s="54">
        <v>175</v>
      </c>
      <c r="X12" s="54">
        <v>175</v>
      </c>
      <c r="Y12" s="54">
        <v>190</v>
      </c>
      <c r="Z12" s="54">
        <v>200</v>
      </c>
      <c r="AA12" s="54">
        <v>210</v>
      </c>
      <c r="AB12" s="54">
        <v>225</v>
      </c>
      <c r="AC12" s="54">
        <v>225</v>
      </c>
      <c r="AD12" s="54">
        <v>230</v>
      </c>
      <c r="AE12" s="54">
        <v>230</v>
      </c>
      <c r="AF12" s="54">
        <v>235</v>
      </c>
      <c r="AG12" s="54">
        <v>175</v>
      </c>
      <c r="AH12" s="54">
        <v>175</v>
      </c>
      <c r="AI12" s="54">
        <v>190</v>
      </c>
      <c r="AJ12" s="54">
        <v>200</v>
      </c>
      <c r="AK12" s="54">
        <v>210</v>
      </c>
      <c r="AL12" s="54">
        <v>225</v>
      </c>
      <c r="AM12" s="54">
        <v>225</v>
      </c>
      <c r="AN12" s="54">
        <v>230</v>
      </c>
      <c r="AO12" s="54">
        <v>230</v>
      </c>
      <c r="AP12" s="54">
        <v>235</v>
      </c>
      <c r="AQ12" s="57">
        <v>275</v>
      </c>
      <c r="AR12" s="57">
        <v>275</v>
      </c>
      <c r="AS12" s="57">
        <v>275</v>
      </c>
      <c r="AT12" s="57">
        <v>295</v>
      </c>
      <c r="AU12" s="57">
        <v>315</v>
      </c>
      <c r="AV12" s="57">
        <v>335</v>
      </c>
      <c r="AW12" s="57">
        <v>360</v>
      </c>
      <c r="AX12" s="57">
        <v>360</v>
      </c>
      <c r="AY12" s="57">
        <v>380</v>
      </c>
      <c r="AZ12" s="57">
        <v>380</v>
      </c>
      <c r="BA12" s="57">
        <v>275</v>
      </c>
      <c r="BB12" s="57">
        <v>275</v>
      </c>
      <c r="BC12" s="57">
        <v>275</v>
      </c>
      <c r="BD12" s="57">
        <v>295</v>
      </c>
      <c r="BE12" s="57">
        <v>315</v>
      </c>
      <c r="BF12" s="57">
        <v>335</v>
      </c>
      <c r="BG12" s="57">
        <v>360</v>
      </c>
      <c r="BH12" s="57">
        <v>360</v>
      </c>
      <c r="BI12" s="57">
        <v>380</v>
      </c>
      <c r="BJ12" s="57">
        <v>380</v>
      </c>
      <c r="BK12" s="60">
        <v>275</v>
      </c>
      <c r="BL12" s="60">
        <v>275</v>
      </c>
      <c r="BM12" s="60">
        <v>295</v>
      </c>
      <c r="BN12" s="60">
        <v>315</v>
      </c>
      <c r="BO12" s="60">
        <v>335</v>
      </c>
      <c r="BP12" s="60">
        <v>360</v>
      </c>
      <c r="BQ12" s="60">
        <v>360</v>
      </c>
      <c r="BR12" s="60">
        <v>380</v>
      </c>
      <c r="BS12" s="60">
        <v>380</v>
      </c>
      <c r="BT12" s="60">
        <v>385</v>
      </c>
      <c r="BU12" s="60">
        <v>275</v>
      </c>
      <c r="BV12" s="60">
        <v>275</v>
      </c>
      <c r="BW12" s="60">
        <v>295</v>
      </c>
      <c r="BX12" s="60">
        <v>315</v>
      </c>
      <c r="BY12" s="60">
        <v>335</v>
      </c>
      <c r="BZ12" s="60">
        <v>360</v>
      </c>
      <c r="CA12" s="60">
        <v>360</v>
      </c>
      <c r="CB12" s="60">
        <v>380</v>
      </c>
      <c r="CC12" s="60">
        <v>380</v>
      </c>
      <c r="CD12" s="60">
        <v>385</v>
      </c>
    </row>
    <row r="13" spans="1:82" s="47" customFormat="1" x14ac:dyDescent="0.15"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82" s="47" customFormat="1" x14ac:dyDescent="0.15">
      <c r="BH14" s="48"/>
      <c r="BI14" s="48"/>
      <c r="BJ14" s="48"/>
      <c r="BK14" s="48"/>
      <c r="BL14" s="48"/>
      <c r="BM14" s="48"/>
      <c r="BN14" s="48"/>
      <c r="BO14" s="48"/>
    </row>
    <row r="15" spans="1:82" x14ac:dyDescent="0.15">
      <c r="B15" t="s">
        <v>34</v>
      </c>
      <c r="C15" s="63" t="s">
        <v>35</v>
      </c>
      <c r="D15" s="63" t="s">
        <v>35</v>
      </c>
      <c r="E15" s="63" t="s">
        <v>36</v>
      </c>
      <c r="F15" s="63" t="s">
        <v>37</v>
      </c>
      <c r="G15" s="30"/>
      <c r="H15" s="31" t="s">
        <v>34</v>
      </c>
      <c r="I15" s="64" t="s">
        <v>38</v>
      </c>
      <c r="J15" s="64" t="s">
        <v>38</v>
      </c>
      <c r="K15" s="64" t="s">
        <v>36</v>
      </c>
      <c r="L15" s="64" t="s">
        <v>37</v>
      </c>
      <c r="M15" s="31"/>
      <c r="N15" s="31"/>
      <c r="O15" s="31"/>
      <c r="P15" s="31"/>
      <c r="Q15" s="31"/>
      <c r="R15" s="31"/>
      <c r="S15" s="31"/>
      <c r="BR15" s="63"/>
      <c r="BS15" s="47"/>
    </row>
    <row r="16" spans="1:82" x14ac:dyDescent="0.15">
      <c r="A16" s="45">
        <v>10</v>
      </c>
      <c r="B16" s="145" t="s">
        <v>135</v>
      </c>
      <c r="C16" s="49" t="s">
        <v>44</v>
      </c>
      <c r="D16" s="49" t="s">
        <v>54</v>
      </c>
      <c r="E16" s="49" t="s">
        <v>64</v>
      </c>
      <c r="F16" s="49" t="s">
        <v>74</v>
      </c>
      <c r="G16" s="46">
        <v>10</v>
      </c>
      <c r="H16" s="32" t="s">
        <v>135</v>
      </c>
      <c r="I16" s="65" t="s">
        <v>84</v>
      </c>
      <c r="J16" s="65" t="s">
        <v>94</v>
      </c>
      <c r="K16" s="65" t="s">
        <v>104</v>
      </c>
      <c r="L16" s="65" t="s">
        <v>114</v>
      </c>
      <c r="P16" s="33"/>
      <c r="Q16" s="33"/>
      <c r="R16" s="31"/>
      <c r="S16" s="31"/>
      <c r="BS16" s="47"/>
    </row>
    <row r="17" spans="1:71" x14ac:dyDescent="0.15">
      <c r="A17" s="45">
        <v>35.01</v>
      </c>
      <c r="B17" s="145" t="s">
        <v>135</v>
      </c>
      <c r="C17" s="49" t="s">
        <v>44</v>
      </c>
      <c r="D17" s="49" t="s">
        <v>54</v>
      </c>
      <c r="E17" s="49" t="s">
        <v>64</v>
      </c>
      <c r="F17" s="49" t="s">
        <v>74</v>
      </c>
      <c r="G17" s="30">
        <v>35.01</v>
      </c>
      <c r="H17" s="32" t="s">
        <v>135</v>
      </c>
      <c r="I17" s="65" t="s">
        <v>84</v>
      </c>
      <c r="J17" s="65" t="s">
        <v>94</v>
      </c>
      <c r="K17" s="65" t="s">
        <v>104</v>
      </c>
      <c r="L17" s="65" t="s">
        <v>114</v>
      </c>
      <c r="M17" s="65"/>
      <c r="P17" s="33"/>
      <c r="Q17" s="33"/>
      <c r="R17" s="31"/>
      <c r="S17" s="31"/>
      <c r="AT17" s="29"/>
      <c r="AU17" s="29"/>
      <c r="BE17" s="63"/>
      <c r="BQ17" s="29"/>
      <c r="BR17" s="49"/>
      <c r="BS17" s="47"/>
    </row>
    <row r="18" spans="1:71" x14ac:dyDescent="0.15">
      <c r="A18" s="45">
        <v>40.01</v>
      </c>
      <c r="B18" s="145" t="s">
        <v>135</v>
      </c>
      <c r="C18" s="49" t="s">
        <v>44</v>
      </c>
      <c r="D18" s="49" t="s">
        <v>54</v>
      </c>
      <c r="E18" s="49" t="s">
        <v>64</v>
      </c>
      <c r="F18" s="49" t="s">
        <v>74</v>
      </c>
      <c r="G18" s="34">
        <v>40.01</v>
      </c>
      <c r="H18" s="32" t="s">
        <v>135</v>
      </c>
      <c r="I18" s="65" t="s">
        <v>85</v>
      </c>
      <c r="J18" s="65" t="s">
        <v>95</v>
      </c>
      <c r="K18" s="65" t="s">
        <v>104</v>
      </c>
      <c r="L18" s="65" t="s">
        <v>114</v>
      </c>
      <c r="P18" s="33"/>
      <c r="Q18" s="33"/>
      <c r="R18" s="31"/>
      <c r="S18" s="31"/>
      <c r="AT18" s="29"/>
      <c r="AU18" s="29"/>
      <c r="BQ18" s="29"/>
      <c r="BR18" s="49"/>
      <c r="BS18" s="47"/>
    </row>
    <row r="19" spans="1:71" x14ac:dyDescent="0.15">
      <c r="A19" s="45">
        <v>45.01</v>
      </c>
      <c r="B19" s="145" t="s">
        <v>135</v>
      </c>
      <c r="C19" s="49" t="s">
        <v>44</v>
      </c>
      <c r="D19" s="49" t="s">
        <v>54</v>
      </c>
      <c r="E19" s="49" t="s">
        <v>64</v>
      </c>
      <c r="F19" s="49" t="s">
        <v>74</v>
      </c>
      <c r="G19" s="35">
        <v>45.01</v>
      </c>
      <c r="H19" s="32" t="s">
        <v>135</v>
      </c>
      <c r="I19" s="65" t="s">
        <v>86</v>
      </c>
      <c r="J19" s="65" t="s">
        <v>103</v>
      </c>
      <c r="K19" s="65" t="s">
        <v>105</v>
      </c>
      <c r="L19" s="65" t="s">
        <v>115</v>
      </c>
      <c r="P19" s="33"/>
      <c r="Q19" s="33"/>
      <c r="R19" s="36"/>
      <c r="S19" s="36"/>
      <c r="AT19" s="29"/>
      <c r="AU19" s="29"/>
      <c r="BE19" s="63"/>
      <c r="BQ19" s="29"/>
      <c r="BR19" s="49"/>
      <c r="BS19" s="47"/>
    </row>
    <row r="20" spans="1:71" x14ac:dyDescent="0.15">
      <c r="A20" s="45">
        <v>49.01</v>
      </c>
      <c r="B20" s="145" t="s">
        <v>135</v>
      </c>
      <c r="C20" s="49" t="s">
        <v>45</v>
      </c>
      <c r="D20" s="49" t="s">
        <v>55</v>
      </c>
      <c r="E20" s="49" t="s">
        <v>64</v>
      </c>
      <c r="F20" s="49" t="s">
        <v>74</v>
      </c>
      <c r="G20" s="35">
        <v>49.01</v>
      </c>
      <c r="H20" s="32" t="s">
        <v>135</v>
      </c>
      <c r="I20" s="65" t="s">
        <v>96</v>
      </c>
      <c r="J20" s="65" t="s">
        <v>87</v>
      </c>
      <c r="K20" s="65" t="s">
        <v>106</v>
      </c>
      <c r="L20" s="65" t="s">
        <v>116</v>
      </c>
      <c r="P20" s="33"/>
      <c r="Q20" s="33"/>
      <c r="R20" s="36"/>
      <c r="S20" s="36"/>
      <c r="BQ20" s="29"/>
      <c r="BR20" s="49"/>
      <c r="BS20" s="47"/>
    </row>
    <row r="21" spans="1:71" x14ac:dyDescent="0.15">
      <c r="A21" s="45">
        <v>55.01</v>
      </c>
      <c r="B21" s="145" t="s">
        <v>135</v>
      </c>
      <c r="C21" s="49" t="s">
        <v>46</v>
      </c>
      <c r="D21" s="49" t="s">
        <v>56</v>
      </c>
      <c r="E21" s="49" t="s">
        <v>65</v>
      </c>
      <c r="F21" s="49" t="s">
        <v>75</v>
      </c>
      <c r="G21" s="35">
        <v>55.01</v>
      </c>
      <c r="H21" s="32" t="s">
        <v>135</v>
      </c>
      <c r="I21" s="66" t="s">
        <v>88</v>
      </c>
      <c r="J21" s="66" t="s">
        <v>97</v>
      </c>
      <c r="K21" s="66" t="s">
        <v>107</v>
      </c>
      <c r="L21" s="66" t="s">
        <v>117</v>
      </c>
      <c r="P21" s="37"/>
      <c r="Q21" s="37"/>
      <c r="R21" s="36"/>
      <c r="S21" s="36"/>
      <c r="BE21" s="63"/>
      <c r="BR21" s="49"/>
      <c r="BS21" s="47"/>
    </row>
    <row r="22" spans="1:71" x14ac:dyDescent="0.15">
      <c r="A22" s="45">
        <v>61.01</v>
      </c>
      <c r="B22" s="145" t="s">
        <v>135</v>
      </c>
      <c r="C22" s="49" t="s">
        <v>47</v>
      </c>
      <c r="D22" s="49" t="s">
        <v>57</v>
      </c>
      <c r="E22" s="49" t="s">
        <v>66</v>
      </c>
      <c r="F22" s="49" t="s">
        <v>76</v>
      </c>
      <c r="G22" s="35">
        <v>59.01</v>
      </c>
      <c r="H22" s="32" t="s">
        <v>135</v>
      </c>
      <c r="I22" s="66" t="s">
        <v>89</v>
      </c>
      <c r="J22" s="66" t="s">
        <v>98</v>
      </c>
      <c r="K22" s="66" t="s">
        <v>108</v>
      </c>
      <c r="L22" s="66" t="s">
        <v>118</v>
      </c>
      <c r="P22" s="37"/>
      <c r="Q22" s="37"/>
      <c r="R22" s="36"/>
      <c r="S22" s="36"/>
      <c r="BS22" s="47"/>
    </row>
    <row r="23" spans="1:71" x14ac:dyDescent="0.15">
      <c r="A23" s="45">
        <v>67.010000000000005</v>
      </c>
      <c r="B23" s="145" t="s">
        <v>135</v>
      </c>
      <c r="C23" s="49" t="s">
        <v>48</v>
      </c>
      <c r="D23" s="49" t="s">
        <v>58</v>
      </c>
      <c r="E23" s="49" t="s">
        <v>67</v>
      </c>
      <c r="F23" s="49" t="s">
        <v>77</v>
      </c>
      <c r="G23" s="35">
        <v>64.010000000000005</v>
      </c>
      <c r="H23" s="32" t="s">
        <v>135</v>
      </c>
      <c r="I23" s="66" t="s">
        <v>90</v>
      </c>
      <c r="J23" s="66" t="s">
        <v>99</v>
      </c>
      <c r="K23" s="66" t="s">
        <v>109</v>
      </c>
      <c r="L23" s="66" t="s">
        <v>119</v>
      </c>
      <c r="P23" s="37"/>
      <c r="Q23" s="37"/>
      <c r="R23" s="36"/>
      <c r="S23" s="36"/>
      <c r="BE23" s="63"/>
    </row>
    <row r="24" spans="1:71" x14ac:dyDescent="0.15">
      <c r="A24" s="45">
        <v>73.010000000000005</v>
      </c>
      <c r="B24" s="145" t="s">
        <v>135</v>
      </c>
      <c r="C24" s="49" t="s">
        <v>49</v>
      </c>
      <c r="D24" s="49" t="s">
        <v>59</v>
      </c>
      <c r="E24" s="49" t="s">
        <v>68</v>
      </c>
      <c r="F24" s="49" t="s">
        <v>78</v>
      </c>
      <c r="G24" s="35">
        <v>71.010000000000005</v>
      </c>
      <c r="H24" s="32" t="s">
        <v>135</v>
      </c>
      <c r="I24" s="66" t="s">
        <v>91</v>
      </c>
      <c r="J24" s="66" t="s">
        <v>100</v>
      </c>
      <c r="K24" s="66" t="s">
        <v>110</v>
      </c>
      <c r="L24" s="66" t="s">
        <v>120</v>
      </c>
      <c r="P24" s="37"/>
      <c r="Q24" s="37"/>
      <c r="R24" s="36"/>
      <c r="S24" s="36"/>
    </row>
    <row r="25" spans="1:71" x14ac:dyDescent="0.15">
      <c r="A25" s="45">
        <v>81.010000000000005</v>
      </c>
      <c r="B25" s="145" t="s">
        <v>135</v>
      </c>
      <c r="C25" s="49" t="s">
        <v>50</v>
      </c>
      <c r="D25" s="49" t="s">
        <v>60</v>
      </c>
      <c r="E25" s="49" t="s">
        <v>69</v>
      </c>
      <c r="F25" s="49" t="s">
        <v>79</v>
      </c>
      <c r="G25" s="35">
        <v>76.010000000000005</v>
      </c>
      <c r="H25" s="32" t="s">
        <v>135</v>
      </c>
      <c r="I25" s="66" t="s">
        <v>92</v>
      </c>
      <c r="J25" s="66" t="s">
        <v>101</v>
      </c>
      <c r="K25" s="66" t="s">
        <v>111</v>
      </c>
      <c r="L25" s="66" t="s">
        <v>121</v>
      </c>
      <c r="P25" s="37"/>
      <c r="Q25" s="37"/>
      <c r="R25" s="36"/>
      <c r="S25" s="36"/>
      <c r="BE25" s="63"/>
    </row>
    <row r="26" spans="1:71" x14ac:dyDescent="0.15">
      <c r="A26" s="45">
        <v>89.01</v>
      </c>
      <c r="B26" s="145" t="s">
        <v>135</v>
      </c>
      <c r="C26" s="49" t="s">
        <v>51</v>
      </c>
      <c r="D26" s="49" t="s">
        <v>61</v>
      </c>
      <c r="E26" s="49" t="s">
        <v>70</v>
      </c>
      <c r="F26" s="49" t="s">
        <v>80</v>
      </c>
      <c r="G26" s="35">
        <v>81.010000000000005</v>
      </c>
      <c r="H26" s="32" t="s">
        <v>135</v>
      </c>
      <c r="I26" s="66" t="s">
        <v>93</v>
      </c>
      <c r="J26" s="66" t="s">
        <v>102</v>
      </c>
      <c r="K26" s="66" t="s">
        <v>112</v>
      </c>
      <c r="L26" s="66" t="s">
        <v>122</v>
      </c>
      <c r="P26" s="37"/>
      <c r="Q26" s="37"/>
      <c r="R26" s="36"/>
      <c r="S26" s="36"/>
    </row>
    <row r="27" spans="1:71" x14ac:dyDescent="0.15">
      <c r="A27" s="45">
        <v>96.01</v>
      </c>
      <c r="B27" s="145" t="s">
        <v>135</v>
      </c>
      <c r="C27" s="49" t="s">
        <v>52</v>
      </c>
      <c r="D27" s="49" t="s">
        <v>62</v>
      </c>
      <c r="E27" s="49" t="s">
        <v>71</v>
      </c>
      <c r="F27" s="49" t="s">
        <v>81</v>
      </c>
      <c r="G27" s="35">
        <v>87.01</v>
      </c>
      <c r="H27" s="32" t="s">
        <v>135</v>
      </c>
      <c r="I27" s="66" t="s">
        <v>93</v>
      </c>
      <c r="J27" s="66" t="s">
        <v>102</v>
      </c>
      <c r="K27" s="66" t="s">
        <v>113</v>
      </c>
      <c r="L27" s="66" t="s">
        <v>123</v>
      </c>
      <c r="P27" s="37"/>
      <c r="Q27" s="37"/>
      <c r="R27" s="36"/>
      <c r="S27" s="36"/>
      <c r="BE27" s="63"/>
    </row>
    <row r="28" spans="1:71" x14ac:dyDescent="0.15">
      <c r="A28" s="45">
        <v>102.01</v>
      </c>
      <c r="B28" s="145" t="s">
        <v>135</v>
      </c>
      <c r="C28" s="49" t="s">
        <v>53</v>
      </c>
      <c r="D28" s="49" t="s">
        <v>63</v>
      </c>
      <c r="E28" s="49" t="s">
        <v>72</v>
      </c>
      <c r="F28" s="49" t="s">
        <v>82</v>
      </c>
      <c r="G28" s="35"/>
      <c r="H28" s="32"/>
      <c r="I28" s="37"/>
      <c r="J28" s="37"/>
      <c r="K28" s="37"/>
      <c r="L28" s="37"/>
      <c r="N28" s="37"/>
      <c r="O28" s="37"/>
      <c r="P28" s="37"/>
      <c r="Q28" s="37"/>
      <c r="R28" s="36"/>
      <c r="S28" s="36"/>
    </row>
    <row r="29" spans="1:71" x14ac:dyDescent="0.15">
      <c r="A29" s="45">
        <v>109.1</v>
      </c>
      <c r="B29" s="145" t="s">
        <v>135</v>
      </c>
      <c r="C29" s="49" t="s">
        <v>53</v>
      </c>
      <c r="D29" s="49" t="s">
        <v>63</v>
      </c>
      <c r="E29" s="49" t="s">
        <v>73</v>
      </c>
      <c r="F29" s="49" t="s">
        <v>83</v>
      </c>
      <c r="G29" s="35"/>
      <c r="H29" s="32"/>
      <c r="I29" s="37"/>
      <c r="J29" s="37"/>
      <c r="K29" s="37"/>
      <c r="L29" s="37"/>
      <c r="N29" s="37"/>
      <c r="O29" s="37"/>
      <c r="P29" s="37"/>
      <c r="Q29" s="37"/>
      <c r="R29" s="36"/>
      <c r="S29" s="36"/>
      <c r="AT29" s="29"/>
      <c r="AU29" s="29"/>
      <c r="BE29" s="63"/>
    </row>
    <row r="30" spans="1:71" x14ac:dyDescent="0.15">
      <c r="M30" s="36"/>
      <c r="O30" s="37"/>
      <c r="P30" s="37"/>
      <c r="Q30" s="37"/>
      <c r="R30" s="37"/>
      <c r="S30" s="37"/>
      <c r="T30" s="36"/>
      <c r="U30" s="36"/>
    </row>
    <row r="31" spans="1:71" x14ac:dyDescent="0.15">
      <c r="M31" s="36"/>
      <c r="N31" s="37"/>
      <c r="O31" s="37"/>
      <c r="P31" s="37"/>
      <c r="Q31" s="37"/>
      <c r="R31" s="37"/>
      <c r="S31" s="37"/>
      <c r="T31" s="36"/>
      <c r="U31" s="36"/>
      <c r="BG31" s="63"/>
    </row>
    <row r="32" spans="1:71" x14ac:dyDescent="0.15">
      <c r="M32" s="36"/>
      <c r="N32" s="37"/>
      <c r="O32" s="37"/>
      <c r="P32" s="37"/>
      <c r="Q32" s="37"/>
      <c r="R32" s="37"/>
      <c r="S32" s="37"/>
      <c r="T32" s="36"/>
      <c r="U32" s="36"/>
    </row>
    <row r="33" spans="13:59" x14ac:dyDescent="0.15">
      <c r="M33" s="36"/>
      <c r="N33" s="37"/>
      <c r="O33" s="37"/>
      <c r="P33" s="37"/>
      <c r="Q33" s="37"/>
      <c r="R33" s="37"/>
      <c r="S33" s="37"/>
      <c r="T33" s="36"/>
      <c r="U33" s="36"/>
      <c r="BG33" s="63"/>
    </row>
    <row r="35" spans="13:59" x14ac:dyDescent="0.15">
      <c r="BG35" s="63"/>
    </row>
    <row r="37" spans="13:59" x14ac:dyDescent="0.15">
      <c r="BG37" s="6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Microsoft Office User</cp:lastModifiedBy>
  <cp:lastPrinted>2020-01-18T18:54:15Z</cp:lastPrinted>
  <dcterms:created xsi:type="dcterms:W3CDTF">2004-10-09T07:29:01Z</dcterms:created>
  <dcterms:modified xsi:type="dcterms:W3CDTF">2020-03-07T13:13:57Z</dcterms:modified>
</cp:coreProperties>
</file>